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uestos" sheetId="1" state="visible" r:id="rId3"/>
    <sheet name="Plan de Cash" sheetId="2" state="visible" r:id="rId4"/>
    <sheet name="Panorama" sheetId="3" state="visible" r:id="rId5"/>
    <sheet name="Ejemplo" sheetId="4" state="hidden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<sst xmlns="http://schemas.openxmlformats.org/spreadsheetml/2006/main" count="129" uniqueCount="104">
  <si>
    <t xml:space="preserve">Plan de Cash · 13 semanas</t>
  </si>
  <si>
    <t xml:space="preserve">Supuestos de arranque</t>
  </si>
  <si>
    <t xml:space="preserve">Fecha fija de inicio (opcional)</t>
  </si>
  <si>
    <t xml:space="preserve">Vacía: el plan arranca solo en la semana pasada. Cuando empieces a usarlo, escribe aquí el lunes de tu primera semana.</t>
  </si>
  <si>
    <t xml:space="preserve">Saldo inicial en bancos (todas las cuentas)</t>
  </si>
  <si>
    <t xml:space="preserve">Suma de todas tus cuentas y caja al inicio de la primera semana.</t>
  </si>
  <si>
    <t xml:space="preserve">Colchón mínimo de caja</t>
  </si>
  <si>
    <t xml:space="preserve">El saldo por debajo del cual no quieres operar. Si una semana cae por debajo, el plan te lo marca.</t>
  </si>
  <si>
    <t xml:space="preserve">Nombre de la empresa</t>
  </si>
  <si>
    <t xml:space="preserve">Ejemplo, S.A. de C.V.</t>
  </si>
  <si>
    <t xml:space="preserve">Aparece en el encabezado del plan.</t>
  </si>
  <si>
    <t xml:space="preserve">Inicio del plan (automático)</t>
  </si>
  <si>
    <t xml:space="preserve">Siempre un lunes. Mientras no escribas una fecha fija, se recorre cada semana.</t>
  </si>
  <si>
    <t xml:space="preserve">Cómo leer el plan</t>
  </si>
  <si>
    <t xml:space="preserve">1. Celdas en azul sobre fondo amarillo: las capturas tú. Celdas en negro: son fórmulas, no las toques.</t>
  </si>
  <si>
    <t xml:space="preserve">2. Cada semana tiene dos columnas: Proy (lo que esperas) y Real (lo que pasó). Captura Real al cerrar la semana.</t>
  </si>
  <si>
    <t xml:space="preserve">3. En cuanto capturas la semana real, la proyección de la siguiente arranca desde tu saldo real, no desde el estimado.</t>
  </si>
  <si>
    <t xml:space="preserve">4. El saldo final se compara contra el colchón mínimo. Si queda por debajo, la celda se pinta en rojo: esa semana requiere una decisión.</t>
  </si>
  <si>
    <t xml:space="preserve">5. La primera semana es la semana pasada: captura ahí lo que ya pasó y desde ahí proyecta. Al empezar a usarlo, fija la fecha de inicio arriba para que las semanas ya no se muevan.</t>
  </si>
  <si>
    <t xml:space="preserve">6. Los números son de una distribuidora de ejemplo que vende unos $2.8 millones al mes. Se acomodan solos al calendario: quincenas, renta del día 1, impuestos del 17 y, si el plan toca diciembre, aguinaldo y cobranza baja de fin de año. Escribe encima los tuyos.</t>
  </si>
  <si>
    <t xml:space="preserve">7. Actualízalo una vez por semana, el mismo día. Diez minutos bastan si llevas tus cobros y pagos al día.</t>
  </si>
  <si>
    <t xml:space="preserve">8. Es una versión resumida para arrancar. El Plan de Cash que trabajamos con nuestros clientes baja cada renglón al detalle: cobranza por cliente, pagos por proveedor, saldo por cuenta bancaria, tablas de crédito y conciliación semanal contra bancos.</t>
  </si>
  <si>
    <t xml:space="preserve">SIEFO · Tu CFO externo · siefo-pro.com</t>
  </si>
  <si>
    <t xml:space="preserve">Esta plantilla es de uso libre para tu empresa. Si quieres que la revisemos juntos, agenda una llamada de 30 minutos sin costo en siefo-pro.com.</t>
  </si>
  <si>
    <t xml:space="preserve">Plan de Cash semanal · 13 semanas · Proyectado vs Real</t>
  </si>
  <si>
    <t xml:space="preserve">Concepto</t>
  </si>
  <si>
    <t xml:space="preserve">Plan semanal</t>
  </si>
  <si>
    <t xml:space="preserve">Azul: captura · Negro: fórmula</t>
  </si>
  <si>
    <t xml:space="preserve">PROY</t>
  </si>
  <si>
    <t xml:space="preserve">REAL</t>
  </si>
  <si>
    <t xml:space="preserve">Saldo inicial en bancos</t>
  </si>
  <si>
    <t xml:space="preserve">ENTRADAS</t>
  </si>
  <si>
    <t xml:space="preserve">   Cobranza de contado</t>
  </si>
  <si>
    <t xml:space="preserve">   Cobranza a clientes (crédito)</t>
  </si>
  <si>
    <t xml:space="preserve">   Otras entradas (préstamos, aportaciones)</t>
  </si>
  <si>
    <t xml:space="preserve">Total entradas</t>
  </si>
  <si>
    <t xml:space="preserve">SALIDAS</t>
  </si>
  <si>
    <t xml:space="preserve">   Pago a proveedores</t>
  </si>
  <si>
    <t xml:space="preserve">   Nómina y prestaciones</t>
  </si>
  <si>
    <t xml:space="preserve">   Gastos operativos fijos (renta, servicios, etc.)</t>
  </si>
  <si>
    <t xml:space="preserve">   Gastos de venta (comisiones, publicidad, fletes)</t>
  </si>
  <si>
    <t xml:space="preserve">   Impuestos (IVA, ISR, IMSS, retenciones)</t>
  </si>
  <si>
    <t xml:space="preserve">   Créditos · pago de capital</t>
  </si>
  <si>
    <t xml:space="preserve">   Créditos · intereses y comisiones</t>
  </si>
  <si>
    <t xml:space="preserve">   Compra de activos (equipo, vehículos, mejoras)</t>
  </si>
  <si>
    <t xml:space="preserve">   Socios · remuneración y retiros</t>
  </si>
  <si>
    <t xml:space="preserve">Total salidas</t>
  </si>
  <si>
    <t xml:space="preserve">Flujo operativo (cobranza − operación)</t>
  </si>
  <si>
    <t xml:space="preserve">Flujo neto de la semana</t>
  </si>
  <si>
    <t xml:space="preserve">SALDO FINAL EN BANCOS</t>
  </si>
  <si>
    <t xml:space="preserve">Colchón mínimo</t>
  </si>
  <si>
    <t xml:space="preserve">Sobrante / (faltante) vs colchón</t>
  </si>
  <si>
    <t xml:space="preserve">Semana real capturada (1 = sí)</t>
  </si>
  <si>
    <t xml:space="preserve">Flujo operativo = cobranza − (proveedores + nómina + gastos fijos + gastos de venta + impuestos). No incluye créditos, activos, socios ni otras entradas.</t>
  </si>
  <si>
    <t xml:space="preserve">Panorama · saldo final por semana</t>
  </si>
  <si>
    <t xml:space="preserve">Lectura rápida: dónde se aprieta la caja y cuánto se desvía lo real de lo proyectado.</t>
  </si>
  <si>
    <t xml:space="preserve">Semana</t>
  </si>
  <si>
    <t xml:space="preserve">Del</t>
  </si>
  <si>
    <t xml:space="preserve">Al</t>
  </si>
  <si>
    <t xml:space="preserve">Saldo final proy.</t>
  </si>
  <si>
    <t xml:space="preserve">Saldo final real</t>
  </si>
  <si>
    <t xml:space="preserve">Variación</t>
  </si>
  <si>
    <t xml:space="preserve">Colchón</t>
  </si>
  <si>
    <t xml:space="preserve">Estatus</t>
  </si>
  <si>
    <t xml:space="preserve">Bajo el colchón</t>
  </si>
  <si>
    <t xml:space="preserve">Saldo final en bancos</t>
  </si>
  <si>
    <t xml:space="preserve">Proyectado (área), real (línea azul marino) y colchón mínimo (punteado). Los puntos rojos son semanas que requieren una decisión.</t>
  </si>
  <si>
    <t xml:space="preserve">Datos de ejemplo. Se calculan con las fechas del plan. No editar.</t>
  </si>
  <si>
    <t xml:space="preserve">Inicio</t>
  </si>
  <si>
    <t xml:space="preserve">Fin</t>
  </si>
  <si>
    <t xml:space="preserve">Incluye día 15</t>
  </si>
  <si>
    <t xml:space="preserve">Incluye fin de mes</t>
  </si>
  <si>
    <t xml:space="preserve">Incluye día 1</t>
  </si>
  <si>
    <t xml:space="preserve">Temporada baja</t>
  </si>
  <si>
    <t xml:space="preserve">Incluye día 17</t>
  </si>
  <si>
    <t xml:space="preserve">Incluye día 12</t>
  </si>
  <si>
    <t xml:space="preserve">Proy · cob_contado</t>
  </si>
  <si>
    <t xml:space="preserve">Proy · cob_credito</t>
  </si>
  <si>
    <t xml:space="preserve">Proy · otras_ent</t>
  </si>
  <si>
    <t xml:space="preserve">Proy · prov</t>
  </si>
  <si>
    <t xml:space="preserve">Proy · nomina</t>
  </si>
  <si>
    <t xml:space="preserve">Proy · fijos</t>
  </si>
  <si>
    <t xml:space="preserve">Proy · venta</t>
  </si>
  <si>
    <t xml:space="preserve">Proy · impuestos</t>
  </si>
  <si>
    <t xml:space="preserve">Proy · cred_cap</t>
  </si>
  <si>
    <t xml:space="preserve">Proy · cred_int</t>
  </si>
  <si>
    <t xml:space="preserve">Proy · capex</t>
  </si>
  <si>
    <t xml:space="preserve">Proy · socios</t>
  </si>
  <si>
    <t xml:space="preserve">Real sem 1 · cob_contado</t>
  </si>
  <si>
    <t xml:space="preserve">Real sem 1 · cob_credito</t>
  </si>
  <si>
    <t xml:space="preserve">Real sem 1 · otras_ent</t>
  </si>
  <si>
    <t xml:space="preserve">Real sem 1 · prov</t>
  </si>
  <si>
    <t xml:space="preserve">Real sem 1 · nomina</t>
  </si>
  <si>
    <t xml:space="preserve">Real sem 1 · fijos</t>
  </si>
  <si>
    <t xml:space="preserve">Real sem 1 · venta</t>
  </si>
  <si>
    <t xml:space="preserve">Real sem 1 · impuestos</t>
  </si>
  <si>
    <t xml:space="preserve">Real sem 1 · cred_cap</t>
  </si>
  <si>
    <t xml:space="preserve">Real sem 1 · cred_int</t>
  </si>
  <si>
    <t xml:space="preserve">Real sem 1 · capex</t>
  </si>
  <si>
    <t xml:space="preserve">Real sem 1 · socios</t>
  </si>
  <si>
    <t xml:space="preserve">Ruido contado</t>
  </si>
  <si>
    <t xml:space="preserve">Ruido crédito</t>
  </si>
  <si>
    <t xml:space="preserve">Ruido proveedores</t>
  </si>
  <si>
    <t xml:space="preserve">Ruido fijos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</si>
</sst>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d/mm/yyyy"/>
    <numFmt numFmtId="166" formatCode="\$#,##0;&quot;($&quot;#,##0\);\-"/>
    <numFmt numFmtId="167" formatCode="d\ mmm"/>
    <numFmt numFmtId="168" formatCode="\$#,##0;[RED]&quot;($&quot;#,##0\);\-"/>
    <numFmt numFmtId="169" formatCode="General"/>
    <numFmt numFmtId="170" formatCode="\$#,##0"/>
    <numFmt numFmtId="171" formatCode="mm/dd/yy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1C2E"/>
      <name val="Arial"/>
      <family val="0"/>
      <charset val="1"/>
    </font>
    <font>
      <sz val="10"/>
      <color rgb="FF6B7A8C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1F4FBF"/>
      <name val="Arial"/>
      <family val="0"/>
      <charset val="1"/>
    </font>
    <font>
      <i val="true"/>
      <sz val="10"/>
      <color rgb="FF6B7A8C"/>
      <name val="Arial"/>
      <family val="0"/>
      <charset val="1"/>
    </font>
    <font>
      <b val="true"/>
      <sz val="10"/>
      <color rgb="FF6B7A8C"/>
      <name val="Arial"/>
      <family val="0"/>
      <charset val="1"/>
    </font>
    <font>
      <b val="true"/>
      <sz val="11"/>
      <color rgb="FF0B1C2E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2FA89A"/>
      <name val="Arial"/>
      <family val="0"/>
      <charset val="1"/>
    </font>
    <font>
      <b val="true"/>
      <sz val="14"/>
      <color rgb="FF0B1C2E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A9B6CC"/>
      <name val="Arial"/>
      <family val="0"/>
      <charset val="1"/>
    </font>
    <font>
      <i val="true"/>
      <sz val="8"/>
      <color rgb="FF6B7A8C"/>
      <name val="Arial"/>
      <family val="0"/>
      <charset val="1"/>
    </font>
    <font>
      <b val="true"/>
      <sz val="8"/>
      <color rgb="FF6B7A8C"/>
      <name val="Arial"/>
      <family val="0"/>
      <charset val="1"/>
    </font>
    <font>
      <b val="true"/>
      <sz val="10"/>
      <color rgb="FF0B1C2E"/>
      <name val="Arial"/>
      <family val="0"/>
      <charset val="1"/>
    </font>
    <font>
      <b val="true"/>
      <sz val="9"/>
      <color rgb="FF2FA89A"/>
      <name val="Arial"/>
      <family val="0"/>
      <charset val="1"/>
    </font>
    <font>
      <sz val="10"/>
      <color rgb="FF3341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CBD5E1"/>
      <name val="Arial"/>
      <family val="0"/>
      <charset val="1"/>
    </font>
    <font>
      <sz val="8"/>
      <color rgb="FFB8C2CC"/>
      <name val="Arial"/>
      <family val="0"/>
      <charset val="1"/>
    </font>
    <font>
      <i val="true"/>
      <sz val="9"/>
      <color rgb="FF6B7A8C"/>
      <name val="Arial"/>
      <family val="0"/>
      <charset val="1"/>
    </font>
    <font>
      <b val="true"/>
      <sz val="12"/>
      <color rgb="FF0B1C2E"/>
      <name val="Arial"/>
      <family val="0"/>
      <charset val="1"/>
    </font>
    <font>
      <sz val="9"/>
      <color rgb="FF6B7A8C"/>
      <name val="Arial"/>
      <family val="0"/>
      <charset val="1"/>
    </font>
    <font>
      <sz val="9"/>
      <color rgb="FF6B7A8C"/>
      <name val="Arial"/>
      <family val="2"/>
    </font>
    <font>
      <sz val="9"/>
      <color rgb="FF0B1C2E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8DC"/>
        <bgColor rgb="FFFFF1D6"/>
      </patternFill>
    </fill>
    <fill>
      <patternFill patternType="solid">
        <fgColor rgb="FF0B1C2E"/>
        <bgColor rgb="FF003366"/>
      </patternFill>
    </fill>
    <fill>
      <patternFill patternType="solid">
        <fgColor rgb="FFEEF3F8"/>
        <bgColor rgb="FFE8ECF2"/>
      </patternFill>
    </fill>
    <fill>
      <patternFill patternType="solid">
        <fgColor rgb="FFF7F9FC"/>
        <bgColor rgb="FFFFFFFF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>
        <color rgb="FFC9D3DE"/>
      </left>
      <right style="thin">
        <color rgb="FFC9D3DE"/>
      </right>
      <top style="thin">
        <color rgb="FFC9D3DE"/>
      </top>
      <bottom style="thin">
        <color rgb="FFC9D3DE"/>
      </bottom>
      <diagonal/>
    </border>
    <border diagonalUp="false" diagonalDown="false">
      <left/>
      <right style="thin">
        <color rgb="FFC9D3DE"/>
      </right>
      <top/>
      <bottom/>
      <diagonal/>
    </border>
    <border diagonalUp="false" diagonalDown="false">
      <left/>
      <right/>
      <top/>
      <bottom style="medium">
        <color rgb="FF2FA89A"/>
      </bottom>
      <diagonal/>
    </border>
    <border diagonalUp="false" diagonalDown="false">
      <left/>
      <right style="thin">
        <color rgb="FFD5DCE6"/>
      </right>
      <top/>
      <bottom/>
      <diagonal/>
    </border>
    <border diagonalUp="false" diagonalDown="false">
      <left/>
      <right/>
      <top/>
      <bottom style="thin">
        <color rgb="FFE3E8EF"/>
      </bottom>
      <diagonal/>
    </border>
    <border diagonalUp="false" diagonalDown="false">
      <left/>
      <right style="thin">
        <color rgb="FFD5DCE6"/>
      </right>
      <top/>
      <bottom style="thin">
        <color rgb="FFE3E8EF"/>
      </bottom>
      <diagonal/>
    </border>
    <border diagonalUp="false" diagonalDown="false">
      <left/>
      <right/>
      <top style="thin">
        <color rgb="FF94A3B8"/>
      </top>
      <bottom/>
      <diagonal/>
    </border>
    <border diagonalUp="false" diagonalDown="false">
      <left/>
      <right style="thin">
        <color rgb="FFD5DCE6"/>
      </right>
      <top style="thin">
        <color rgb="FF94A3B8"/>
      </top>
      <bottom/>
      <diagonal/>
    </border>
    <border diagonalUp="false" diagonalDown="false">
      <left/>
      <right/>
      <top/>
      <bottom style="thin">
        <color rgb="FFC9D3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15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8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8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5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8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8" fillId="4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8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8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2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1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B00020"/>
        <sz val="10"/>
      </font>
      <fill>
        <patternFill>
          <bgColor rgb="FFFDE2E4"/>
        </patternFill>
      </fill>
    </dxf>
    <dxf>
      <font>
        <name val="Arial"/>
        <charset val="1"/>
        <family val="0"/>
        <b val="1"/>
        <color rgb="FFB00020"/>
        <sz val="10"/>
      </font>
    </dxf>
    <dxf>
      <font>
        <name val="Arial"/>
        <charset val="1"/>
        <family val="0"/>
        <b val="1"/>
        <color rgb="FF8A5A00"/>
        <sz val="10"/>
      </font>
      <fill>
        <patternFill>
          <bgColor rgb="FFFFF1D6"/>
        </patternFill>
      </fill>
    </dxf>
    <dxf>
      <font>
        <name val="Arial"/>
        <charset val="1"/>
        <family val="0"/>
        <color rgb="FF1E6B4F"/>
        <sz val="10"/>
      </font>
    </dxf>
  </dxfs>
  <colors>
    <indexedColors>
      <rgbColor rgb="FF000000"/>
      <rgbColor rgb="FFFFFFFF"/>
      <rgbColor rgb="FFFF0000"/>
      <rgbColor rgb="FF00FF00"/>
      <rgbColor rgb="FF0000FF"/>
      <rgbColor rgb="FFF7F9FC"/>
      <rgbColor rgb="FFFF00FF"/>
      <rgbColor rgb="FF00FFFF"/>
      <rgbColor rgb="FFB00020"/>
      <rgbColor rgb="FF008000"/>
      <rgbColor rgb="FF000080"/>
      <rgbColor rgb="FF8A5A00"/>
      <rgbColor rgb="FF800080"/>
      <rgbColor rgb="FF1E6B4F"/>
      <rgbColor rgb="FFB8C2CC"/>
      <rgbColor rgb="FF6B7A8C"/>
      <rgbColor rgb="FFE8ECF2"/>
      <rgbColor rgb="FF993366"/>
      <rgbColor rgb="FFFFF8DC"/>
      <rgbColor rgb="FFDDF1EE"/>
      <rgbColor rgb="FF660066"/>
      <rgbColor rgb="FFE26A63"/>
      <rgbColor rgb="FF1F4FBF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F8"/>
      <rgbColor rgb="FFE3E8EF"/>
      <rgbColor rgb="FFFFF1D6"/>
      <rgbColor rgb="FFA9B6CC"/>
      <rgbColor rgb="FFD5DCE6"/>
      <rgbColor rgb="FFC9D3DE"/>
      <rgbColor rgb="FFFDE2E4"/>
      <rgbColor rgb="FF3366FF"/>
      <rgbColor rgb="FF33CCCC"/>
      <rgbColor rgb="FF99CC00"/>
      <rgbColor rgb="FFFFCC00"/>
      <rgbColor rgb="FFFF9900"/>
      <rgbColor rgb="FFFF6600"/>
      <rgbColor rgb="FF666699"/>
      <rgbColor rgb="FF94A3B8"/>
      <rgbColor rgb="FF003366"/>
      <rgbColor rgb="FF2FA89A"/>
      <rgbColor rgb="FF0B1C2E"/>
      <rgbColor rgb="FF333300"/>
      <rgbColor rgb="FF993300"/>
      <rgbColor rgb="FF993366"/>
      <rgbColor rgb="FF333399"/>
      <rgbColor rgb="FF3341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areaChart>
        <c:grouping val="standard"/>
        <c:ser>
          <c:idx val="0"/>
          <c:order val="0"/>
          <c:tx>
            <c:strRef>
              <c:f>Panorama!D4</c:f>
              <c:strCache>
                <c:ptCount val="1"/>
                <c:pt idx="0">
                  <c:v>Saldo final proy.</c:v>
                </c:pt>
              </c:strCache>
            </c:strRef>
          </c:tx>
          <c:spPr>
            <a:solidFill>
              <a:srgbClr val="ddf1ee"/>
            </a:solidFill>
            <a:ln w="0">
              <a:noFill/>
            </a:ln>
          </c:spP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Panorama!$L$5:$L$17</c:f>
              <c:strCache>
                <c:ptCount val="13"/>
                <c:pt idx="0">
                  <c:v>12 oct</c:v>
                </c:pt>
                <c:pt idx="1">
                  <c:v>19 oct</c:v>
                </c:pt>
                <c:pt idx="2">
                  <c:v>26 oct</c:v>
                </c:pt>
                <c:pt idx="3">
                  <c:v>2 nov</c:v>
                </c:pt>
                <c:pt idx="4">
                  <c:v>9 nov</c:v>
                </c:pt>
                <c:pt idx="5">
                  <c:v>16 nov</c:v>
                </c:pt>
                <c:pt idx="6">
                  <c:v>23 nov</c:v>
                </c:pt>
                <c:pt idx="7">
                  <c:v>30 nov</c:v>
                </c:pt>
                <c:pt idx="8">
                  <c:v>7 dic</c:v>
                </c:pt>
                <c:pt idx="9">
                  <c:v>14 dic</c:v>
                </c:pt>
                <c:pt idx="10">
                  <c:v>21 dic</c:v>
                </c:pt>
                <c:pt idx="11">
                  <c:v>28 dic</c:v>
                </c:pt>
                <c:pt idx="12">
                  <c:v>4 ene</c:v>
                </c:pt>
              </c:strCache>
            </c:strRef>
          </c:cat>
          <c:val>
            <c:numRef>
              <c:f>Panorama!$D$5:$D$17</c:f>
              <c:numCache>
                <c:formatCode>\$#,##0;"($"#,##0\);\-</c:formatCode>
                <c:ptCount val="13"/>
                <c:pt idx="0">
                  <c:v>1031892</c:v>
                </c:pt>
                <c:pt idx="1">
                  <c:v>1223020</c:v>
                </c:pt>
                <c:pt idx="2">
                  <c:v>1126770</c:v>
                </c:pt>
                <c:pt idx="3">
                  <c:v>1329340</c:v>
                </c:pt>
                <c:pt idx="4">
                  <c:v>1329302</c:v>
                </c:pt>
                <c:pt idx="5">
                  <c:v>1314202</c:v>
                </c:pt>
                <c:pt idx="6">
                  <c:v>1547772</c:v>
                </c:pt>
                <c:pt idx="7">
                  <c:v>1383042</c:v>
                </c:pt>
                <c:pt idx="8">
                  <c:v>1094804</c:v>
                </c:pt>
                <c:pt idx="9">
                  <c:v>508454</c:v>
                </c:pt>
                <c:pt idx="10">
                  <c:v>686704</c:v>
                </c:pt>
                <c:pt idx="11">
                  <c:v>528284</c:v>
                </c:pt>
                <c:pt idx="12">
                  <c:v>724594</c:v>
                </c:pt>
              </c:numCache>
            </c:numRef>
          </c:val>
        </c:ser>
        <c:axId val="23448231"/>
        <c:axId val="10979037"/>
      </c:areaChart>
      <c:lineChart>
        <c:grouping val="standard"/>
        <c:varyColors val="0"/>
        <c:ser>
          <c:idx val="1"/>
          <c:order val="1"/>
          <c:tx>
            <c:strRef>
              <c:f>Panorama!D4</c:f>
              <c:strCache>
                <c:ptCount val="1"/>
                <c:pt idx="0">
                  <c:v>Saldo final proy.</c:v>
                </c:pt>
              </c:strCache>
            </c:strRef>
          </c:tx>
          <c:spPr>
            <a:solidFill>
              <a:srgbClr val="2fa89a"/>
            </a:solidFill>
            <a:ln w="31680">
              <a:solidFill>
                <a:srgbClr val="2fa89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Panorama!$L$5:$L$17</c:f>
              <c:strCache>
                <c:ptCount val="13"/>
                <c:pt idx="0">
                  <c:v>12 oct</c:v>
                </c:pt>
                <c:pt idx="1">
                  <c:v>19 oct</c:v>
                </c:pt>
                <c:pt idx="2">
                  <c:v>26 oct</c:v>
                </c:pt>
                <c:pt idx="3">
                  <c:v>2 nov</c:v>
                </c:pt>
                <c:pt idx="4">
                  <c:v>9 nov</c:v>
                </c:pt>
                <c:pt idx="5">
                  <c:v>16 nov</c:v>
                </c:pt>
                <c:pt idx="6">
                  <c:v>23 nov</c:v>
                </c:pt>
                <c:pt idx="7">
                  <c:v>30 nov</c:v>
                </c:pt>
                <c:pt idx="8">
                  <c:v>7 dic</c:v>
                </c:pt>
                <c:pt idx="9">
                  <c:v>14 dic</c:v>
                </c:pt>
                <c:pt idx="10">
                  <c:v>21 dic</c:v>
                </c:pt>
                <c:pt idx="11">
                  <c:v>28 dic</c:v>
                </c:pt>
                <c:pt idx="12">
                  <c:v>4 ene</c:v>
                </c:pt>
              </c:strCache>
            </c:strRef>
          </c:cat>
          <c:val>
            <c:numRef>
              <c:f>Panorama!$D$5:$D$17</c:f>
              <c:numCache>
                <c:formatCode>\$#,##0;"($"#,##0\);\-</c:formatCode>
                <c:ptCount val="13"/>
                <c:pt idx="0">
                  <c:v>1031892</c:v>
                </c:pt>
                <c:pt idx="1">
                  <c:v>1223020</c:v>
                </c:pt>
                <c:pt idx="2">
                  <c:v>1126770</c:v>
                </c:pt>
                <c:pt idx="3">
                  <c:v>1329340</c:v>
                </c:pt>
                <c:pt idx="4">
                  <c:v>1329302</c:v>
                </c:pt>
                <c:pt idx="5">
                  <c:v>1314202</c:v>
                </c:pt>
                <c:pt idx="6">
                  <c:v>1547772</c:v>
                </c:pt>
                <c:pt idx="7">
                  <c:v>1383042</c:v>
                </c:pt>
                <c:pt idx="8">
                  <c:v>1094804</c:v>
                </c:pt>
                <c:pt idx="9">
                  <c:v>508454</c:v>
                </c:pt>
                <c:pt idx="10">
                  <c:v>686704</c:v>
                </c:pt>
                <c:pt idx="11">
                  <c:v>528284</c:v>
                </c:pt>
                <c:pt idx="12">
                  <c:v>724594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Panorama!J4</c:f>
              <c:strCache>
                <c:ptCount val="1"/>
                <c:pt idx="0">
                  <c:v>Saldo final real</c:v>
                </c:pt>
              </c:strCache>
            </c:strRef>
          </c:tx>
          <c:spPr>
            <a:solidFill>
              <a:srgbClr val="0b1c2e"/>
            </a:solidFill>
            <a:ln w="38160">
              <a:solidFill>
                <a:srgbClr val="0b1c2e"/>
              </a:solidFill>
              <a:round/>
            </a:ln>
          </c:spPr>
          <c:marker>
            <c:symbol val="circle"/>
            <c:size val="8"/>
            <c:spPr>
              <a:solidFill>
                <a:srgbClr val="0b1c2e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Panorama!$L$5:$L$17</c:f>
              <c:strCache>
                <c:ptCount val="13"/>
                <c:pt idx="0">
                  <c:v>12 oct</c:v>
                </c:pt>
                <c:pt idx="1">
                  <c:v>19 oct</c:v>
                </c:pt>
                <c:pt idx="2">
                  <c:v>26 oct</c:v>
                </c:pt>
                <c:pt idx="3">
                  <c:v>2 nov</c:v>
                </c:pt>
                <c:pt idx="4">
                  <c:v>9 nov</c:v>
                </c:pt>
                <c:pt idx="5">
                  <c:v>16 nov</c:v>
                </c:pt>
                <c:pt idx="6">
                  <c:v>23 nov</c:v>
                </c:pt>
                <c:pt idx="7">
                  <c:v>30 nov</c:v>
                </c:pt>
                <c:pt idx="8">
                  <c:v>7 dic</c:v>
                </c:pt>
                <c:pt idx="9">
                  <c:v>14 dic</c:v>
                </c:pt>
                <c:pt idx="10">
                  <c:v>21 dic</c:v>
                </c:pt>
                <c:pt idx="11">
                  <c:v>28 dic</c:v>
                </c:pt>
                <c:pt idx="12">
                  <c:v>4 ene</c:v>
                </c:pt>
              </c:strCache>
            </c:strRef>
          </c:cat>
          <c:val>
            <c:numRef>
              <c:f>Panorama!$J$5:$J$17</c:f>
              <c:numCache>
                <c:formatCode>\$#,##0;"($"#,##0\);\-</c:formatCode>
                <c:ptCount val="13"/>
                <c:pt idx="0">
                  <c:v>1001840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Panorama!G4</c:f>
              <c:strCache>
                <c:ptCount val="1"/>
                <c:pt idx="0">
                  <c:v>Colchón</c:v>
                </c:pt>
              </c:strCache>
            </c:strRef>
          </c:tx>
          <c:spPr>
            <a:solidFill>
              <a:srgbClr val="e26a63"/>
            </a:solidFill>
            <a:ln w="15840">
              <a:solidFill>
                <a:srgbClr val="e26a63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Panorama!$L$5:$L$17</c:f>
              <c:strCache>
                <c:ptCount val="13"/>
                <c:pt idx="0">
                  <c:v>12 oct</c:v>
                </c:pt>
                <c:pt idx="1">
                  <c:v>19 oct</c:v>
                </c:pt>
                <c:pt idx="2">
                  <c:v>26 oct</c:v>
                </c:pt>
                <c:pt idx="3">
                  <c:v>2 nov</c:v>
                </c:pt>
                <c:pt idx="4">
                  <c:v>9 nov</c:v>
                </c:pt>
                <c:pt idx="5">
                  <c:v>16 nov</c:v>
                </c:pt>
                <c:pt idx="6">
                  <c:v>23 nov</c:v>
                </c:pt>
                <c:pt idx="7">
                  <c:v>30 nov</c:v>
                </c:pt>
                <c:pt idx="8">
                  <c:v>7 dic</c:v>
                </c:pt>
                <c:pt idx="9">
                  <c:v>14 dic</c:v>
                </c:pt>
                <c:pt idx="10">
                  <c:v>21 dic</c:v>
                </c:pt>
                <c:pt idx="11">
                  <c:v>28 dic</c:v>
                </c:pt>
                <c:pt idx="12">
                  <c:v>4 ene</c:v>
                </c:pt>
              </c:strCache>
            </c:strRef>
          </c:cat>
          <c:val>
            <c:numRef>
              <c:f>Panorama!$G$5:$G$17</c:f>
              <c:numCache>
                <c:formatCode>\$#,##0;"($"#,##0\);\-</c:formatCode>
                <c:ptCount val="13"/>
                <c:pt idx="0">
                  <c:v>1000000</c:v>
                </c:pt>
                <c:pt idx="1">
                  <c:v>1000000</c:v>
                </c:pt>
                <c:pt idx="2">
                  <c:v>1000000</c:v>
                </c:pt>
                <c:pt idx="3">
                  <c:v>1000000</c:v>
                </c:pt>
                <c:pt idx="4">
                  <c:v>1000000</c:v>
                </c:pt>
                <c:pt idx="5">
                  <c:v>1000000</c:v>
                </c:pt>
                <c:pt idx="6">
                  <c:v>1000000</c:v>
                </c:pt>
                <c:pt idx="7">
                  <c:v>1000000</c:v>
                </c:pt>
                <c:pt idx="8">
                  <c:v>1000000</c:v>
                </c:pt>
                <c:pt idx="9">
                  <c:v>1000000</c:v>
                </c:pt>
                <c:pt idx="10">
                  <c:v>1000000</c:v>
                </c:pt>
                <c:pt idx="11">
                  <c:v>1000000</c:v>
                </c:pt>
                <c:pt idx="12">
                  <c:v>1000000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Panorama!K4</c:f>
              <c:strCache>
                <c:ptCount val="1"/>
                <c:pt idx="0">
                  <c:v>Bajo el colchón</c:v>
                </c:pt>
              </c:strCache>
            </c:strRef>
          </c:tx>
          <c:spPr>
            <a:solidFill>
              <a:srgbClr val="e26a63"/>
            </a:solidFill>
            <a:ln w="28440">
              <a:noFill/>
            </a:ln>
          </c:spPr>
          <c:marker>
            <c:symbol val="circle"/>
            <c:size val="9"/>
            <c:spPr>
              <a:solidFill>
                <a:srgbClr val="e26a63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Panorama!$L$5:$L$17</c:f>
              <c:strCache>
                <c:ptCount val="13"/>
                <c:pt idx="0">
                  <c:v>12 oct</c:v>
                </c:pt>
                <c:pt idx="1">
                  <c:v>19 oct</c:v>
                </c:pt>
                <c:pt idx="2">
                  <c:v>26 oct</c:v>
                </c:pt>
                <c:pt idx="3">
                  <c:v>2 nov</c:v>
                </c:pt>
                <c:pt idx="4">
                  <c:v>9 nov</c:v>
                </c:pt>
                <c:pt idx="5">
                  <c:v>16 nov</c:v>
                </c:pt>
                <c:pt idx="6">
                  <c:v>23 nov</c:v>
                </c:pt>
                <c:pt idx="7">
                  <c:v>30 nov</c:v>
                </c:pt>
                <c:pt idx="8">
                  <c:v>7 dic</c:v>
                </c:pt>
                <c:pt idx="9">
                  <c:v>14 dic</c:v>
                </c:pt>
                <c:pt idx="10">
                  <c:v>21 dic</c:v>
                </c:pt>
                <c:pt idx="11">
                  <c:v>28 dic</c:v>
                </c:pt>
                <c:pt idx="12">
                  <c:v>4 ene</c:v>
                </c:pt>
              </c:strCache>
            </c:strRef>
          </c:cat>
          <c:val>
            <c:numRef>
              <c:f>Panorama!$K$5:$K$17</c:f>
              <c:numCache>
                <c:formatCode>General</c:formatCode>
                <c:ptCount val="13"/>
                <c:pt idx="9">
                  <c:v>508454</c:v>
                </c:pt>
                <c:pt idx="10">
                  <c:v>686704</c:v>
                </c:pt>
                <c:pt idx="11">
                  <c:v>528284</c:v>
                </c:pt>
                <c:pt idx="12">
                  <c:v>724594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3448231"/>
        <c:axId val="10979037"/>
      </c:lineChart>
      <c:catAx>
        <c:axId val="234482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6480">
            <a:solidFill>
              <a:srgbClr val="c9d3de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6b7a8c"/>
                </a:solidFill>
                <a:latin typeface="Arial"/>
              </a:defRPr>
            </a:pPr>
          </a:p>
        </c:txPr>
        <c:crossAx val="10979037"/>
        <c:crosses val="autoZero"/>
        <c:auto val="1"/>
        <c:lblAlgn val="ctr"/>
        <c:lblOffset val="100"/>
        <c:noMultiLvlLbl val="0"/>
      </c:catAx>
      <c:valAx>
        <c:axId val="10979037"/>
        <c:scaling>
          <c:orientation val="minMax"/>
        </c:scaling>
        <c:delete val="0"/>
        <c:axPos val="l"/>
        <c:majorGridlines>
          <c:spPr>
            <a:ln w="6480">
              <a:solidFill>
                <a:srgbClr val="e8ecf2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b="0" sz="900" spc="-1" strike="noStrike">
                <a:solidFill>
                  <a:srgbClr val="6b7a8c"/>
                </a:solidFill>
                <a:latin typeface="Arial"/>
              </a:defRPr>
            </a:pPr>
          </a:p>
        </c:txPr>
        <c:crossAx val="23448231"/>
        <c:crosses val="autoZero"/>
        <c:crossBetween val="midCat"/>
      </c:valAx>
      <c:spPr>
        <a:noFill/>
        <a:ln w="0">
          <a:noFill/>
        </a:ln>
      </c:spPr>
    </c:plotArea>
    <c:legend>
      <c:legendPos val="t"/>
      <c:legendEntry>
        <c:idx val="0"/>
        <c:delete val="1"/>
      </c:legendEntry>
      <c:overlay val="0"/>
      <c:spPr>
        <a:noFill/>
        <a:ln w="0">
          <a:noFill/>
        </a:ln>
      </c:spPr>
      <c:txPr>
        <a:bodyPr/>
        <a:lstStyle/>
        <a:p>
          <a:pPr>
            <a:defRPr b="0" sz="900" spc="-1" strike="noStrike">
              <a:solidFill>
                <a:srgbClr val="0b1c2e"/>
              </a:solidFill>
              <a:latin typeface="Arial"/>
            </a:defRPr>
          </a:pPr>
        </a:p>
      </c:txPr>
    </c:legend>
    <c:plotVisOnly val="0"/>
    <c:dispBlanksAs val="gap"/>
  </c:chart>
  <c:spPr>
    <a:solidFill>
      <a:srgbClr val="ffffff"/>
    </a:solidFill>
    <a:ln w="936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20</xdr:row>
      <xdr:rowOff>160920</xdr:rowOff>
    </xdr:from>
    <xdr:to>
      <xdr:col>8</xdr:col>
      <xdr:colOff>32760</xdr:colOff>
      <xdr:row>37</xdr:row>
      <xdr:rowOff>162000</xdr:rowOff>
    </xdr:to>
    <xdr:graphicFrame>
      <xdr:nvGraphicFramePr>
        <xdr:cNvPr id="0" name="Chart 1"/>
        <xdr:cNvGraphicFramePr/>
      </xdr:nvGraphicFramePr>
      <xdr:xfrm>
        <a:off x="0" y="4000680"/>
        <a:ext cx="82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6"/>
    <col collapsed="false" customWidth="true" hidden="false" outlineLevel="0" max="3" min="3" style="0" width="18"/>
    <col collapsed="false" customWidth="true" hidden="false" outlineLevel="0" max="4" min="4" style="0" width="2"/>
    <col collapsed="false" customWidth="true" hidden="false" outlineLevel="0" max="5" min="5" style="0" width="7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4"/>
      <c r="E5" s="5" t="s">
        <v>3</v>
      </c>
    </row>
    <row r="6" customFormat="false" ht="15" hidden="false" customHeight="false" outlineLevel="0" collapsed="false">
      <c r="B6" s="3" t="s">
        <v>4</v>
      </c>
      <c r="C6" s="6" t="n">
        <v>1284630</v>
      </c>
      <c r="E6" s="5" t="s">
        <v>5</v>
      </c>
    </row>
    <row r="7" customFormat="false" ht="15" hidden="false" customHeight="false" outlineLevel="0" collapsed="false">
      <c r="B7" s="3" t="s">
        <v>6</v>
      </c>
      <c r="C7" s="6" t="n">
        <v>1000000</v>
      </c>
      <c r="E7" s="5" t="s">
        <v>7</v>
      </c>
    </row>
    <row r="8" customFormat="false" ht="15" hidden="false" customHeight="false" outlineLevel="0" collapsed="false">
      <c r="B8" s="3" t="s">
        <v>8</v>
      </c>
      <c r="C8" s="7" t="s">
        <v>9</v>
      </c>
      <c r="E8" s="5" t="s">
        <v>10</v>
      </c>
    </row>
    <row r="9" customFormat="false" ht="15" hidden="false" customHeight="false" outlineLevel="0" collapsed="false">
      <c r="B9" s="8" t="s">
        <v>11</v>
      </c>
      <c r="C9" s="9" t="n">
        <f aca="true">IF(ISNUMBER(C5),C5-WEEKDAY(C5,2)+1,TODAY()-WEEKDAY(TODAY(),2)-6)</f>
        <v>46307</v>
      </c>
      <c r="E9" s="5" t="s">
        <v>12</v>
      </c>
    </row>
    <row r="11" customFormat="false" ht="15" hidden="false" customHeight="false" outlineLevel="0" collapsed="false">
      <c r="B11" s="10" t="s">
        <v>13</v>
      </c>
    </row>
    <row r="12" customFormat="false" ht="30" hidden="false" customHeight="true" outlineLevel="0" collapsed="false">
      <c r="B12" s="11" t="s">
        <v>14</v>
      </c>
      <c r="C12" s="11"/>
      <c r="D12" s="11"/>
      <c r="E12" s="11"/>
    </row>
    <row r="13" customFormat="false" ht="30" hidden="false" customHeight="true" outlineLevel="0" collapsed="false">
      <c r="B13" s="11" t="s">
        <v>15</v>
      </c>
      <c r="C13" s="11"/>
      <c r="D13" s="11"/>
      <c r="E13" s="11"/>
    </row>
    <row r="14" customFormat="false" ht="30" hidden="false" customHeight="true" outlineLevel="0" collapsed="false">
      <c r="B14" s="11" t="s">
        <v>16</v>
      </c>
      <c r="C14" s="11"/>
      <c r="D14" s="11"/>
      <c r="E14" s="11"/>
    </row>
    <row r="15" customFormat="false" ht="30" hidden="false" customHeight="true" outlineLevel="0" collapsed="false">
      <c r="B15" s="11" t="s">
        <v>17</v>
      </c>
      <c r="C15" s="11"/>
      <c r="D15" s="11"/>
      <c r="E15" s="11"/>
    </row>
    <row r="16" customFormat="false" ht="30" hidden="false" customHeight="true" outlineLevel="0" collapsed="false">
      <c r="B16" s="11" t="s">
        <v>18</v>
      </c>
      <c r="C16" s="11"/>
      <c r="D16" s="11"/>
      <c r="E16" s="11"/>
    </row>
    <row r="17" customFormat="false" ht="30" hidden="false" customHeight="true" outlineLevel="0" collapsed="false">
      <c r="B17" s="11" t="s">
        <v>19</v>
      </c>
      <c r="C17" s="11"/>
      <c r="D17" s="11"/>
      <c r="E17" s="11"/>
    </row>
    <row r="18" customFormat="false" ht="30" hidden="false" customHeight="true" outlineLevel="0" collapsed="false">
      <c r="B18" s="11" t="s">
        <v>20</v>
      </c>
      <c r="C18" s="11"/>
      <c r="D18" s="11"/>
      <c r="E18" s="11"/>
    </row>
    <row r="19" customFormat="false" ht="30" hidden="false" customHeight="true" outlineLevel="0" collapsed="false">
      <c r="B19" s="11" t="s">
        <v>21</v>
      </c>
      <c r="C19" s="11"/>
      <c r="D19" s="11"/>
      <c r="E19" s="11"/>
    </row>
    <row r="22" customFormat="false" ht="15" hidden="false" customHeight="false" outlineLevel="0" collapsed="false">
      <c r="B22" s="12" t="s">
        <v>22</v>
      </c>
    </row>
    <row r="23" customFormat="false" ht="30" hidden="false" customHeight="true" outlineLevel="0" collapsed="false">
      <c r="B23" s="13" t="s">
        <v>23</v>
      </c>
      <c r="C23" s="13"/>
      <c r="D23" s="13"/>
      <c r="E23" s="13"/>
    </row>
  </sheetData>
  <mergeCells count="9">
    <mergeCell ref="B12:E12"/>
    <mergeCell ref="B13:E13"/>
    <mergeCell ref="B14:E14"/>
    <mergeCell ref="B15:E15"/>
    <mergeCell ref="B16:E16"/>
    <mergeCell ref="B17:E17"/>
    <mergeCell ref="B18:E18"/>
    <mergeCell ref="B19:E19"/>
    <mergeCell ref="B23:E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A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7"/>
    <col collapsed="false" customWidth="true" hidden="false" outlineLevel="0" max="27" min="2" style="0" width="12.5"/>
  </cols>
  <sheetData>
    <row r="1" customFormat="false" ht="17.35" hidden="false" customHeight="false" outlineLevel="0" collapsed="false">
      <c r="A1" s="14" t="str">
        <f aca="false">Supuestos!C8</f>
        <v>Ejemplo, S.A. de C.V.</v>
      </c>
    </row>
    <row r="2" customFormat="false" ht="15" hidden="false" customHeight="false" outlineLevel="0" collapsed="false">
      <c r="A2" s="2" t="s">
        <v>24</v>
      </c>
    </row>
    <row r="4" customFormat="false" ht="19.5" hidden="false" customHeight="true" outlineLevel="0" collapsed="false">
      <c r="A4" s="15" t="s">
        <v>25</v>
      </c>
      <c r="B4" s="16" t="str">
        <f aca="false">"Semana "&amp;_xlfn.ISOWEEKNUM(Supuestos!$C$9+7*0)</f>
        <v>Semana 42</v>
      </c>
      <c r="C4" s="16"/>
      <c r="D4" s="16" t="str">
        <f aca="false">"Semana "&amp;_xlfn.ISOWEEKNUM(Supuestos!$C$9+7*1)</f>
        <v>Semana 43</v>
      </c>
      <c r="E4" s="16"/>
      <c r="F4" s="16" t="str">
        <f aca="false">"Semana "&amp;_xlfn.ISOWEEKNUM(Supuestos!$C$9+7*2)</f>
        <v>Semana 44</v>
      </c>
      <c r="G4" s="16"/>
      <c r="H4" s="16" t="str">
        <f aca="false">"Semana "&amp;_xlfn.ISOWEEKNUM(Supuestos!$C$9+7*3)</f>
        <v>Semana 45</v>
      </c>
      <c r="I4" s="16"/>
      <c r="J4" s="16" t="str">
        <f aca="false">"Semana "&amp;_xlfn.ISOWEEKNUM(Supuestos!$C$9+7*4)</f>
        <v>Semana 46</v>
      </c>
      <c r="K4" s="16"/>
      <c r="L4" s="16" t="str">
        <f aca="false">"Semana "&amp;_xlfn.ISOWEEKNUM(Supuestos!$C$9+7*5)</f>
        <v>Semana 47</v>
      </c>
      <c r="M4" s="16"/>
      <c r="N4" s="16" t="str">
        <f aca="false">"Semana "&amp;_xlfn.ISOWEEKNUM(Supuestos!$C$9+7*6)</f>
        <v>Semana 48</v>
      </c>
      <c r="O4" s="16"/>
      <c r="P4" s="16" t="str">
        <f aca="false">"Semana "&amp;_xlfn.ISOWEEKNUM(Supuestos!$C$9+7*7)</f>
        <v>Semana 49</v>
      </c>
      <c r="Q4" s="16"/>
      <c r="R4" s="16" t="str">
        <f aca="false">"Semana "&amp;_xlfn.ISOWEEKNUM(Supuestos!$C$9+7*8)</f>
        <v>Semana 50</v>
      </c>
      <c r="S4" s="16"/>
      <c r="T4" s="16" t="str">
        <f aca="false">"Semana "&amp;_xlfn.ISOWEEKNUM(Supuestos!$C$9+7*9)</f>
        <v>Semana 51</v>
      </c>
      <c r="U4" s="16"/>
      <c r="V4" s="16" t="str">
        <f aca="false">"Semana "&amp;_xlfn.ISOWEEKNUM(Supuestos!$C$9+7*10)</f>
        <v>Semana 52</v>
      </c>
      <c r="W4" s="16"/>
      <c r="X4" s="16" t="str">
        <f aca="false">"Semana "&amp;_xlfn.ISOWEEKNUM(Supuestos!$C$9+7*11)</f>
        <v>Semana 53</v>
      </c>
      <c r="Y4" s="16"/>
      <c r="Z4" s="16" t="str">
        <f aca="false">"Semana "&amp;_xlfn.ISOWEEKNUM(Supuestos!$C$9+7*12)</f>
        <v>Semana 1</v>
      </c>
      <c r="AA4" s="16"/>
    </row>
    <row r="5" customFormat="false" ht="15" hidden="false" customHeight="true" outlineLevel="0" collapsed="false">
      <c r="A5" s="17" t="s">
        <v>26</v>
      </c>
      <c r="B5" s="18" t="n">
        <f aca="false">Supuestos!$C$9+7*0</f>
        <v>46307</v>
      </c>
      <c r="C5" s="19" t="n">
        <f aca="false">Supuestos!$C$9+7*0+6</f>
        <v>46313</v>
      </c>
      <c r="D5" s="18" t="n">
        <f aca="false">Supuestos!$C$9+7*1</f>
        <v>46314</v>
      </c>
      <c r="E5" s="19" t="n">
        <f aca="false">Supuestos!$C$9+7*1+6</f>
        <v>46320</v>
      </c>
      <c r="F5" s="18" t="n">
        <f aca="false">Supuestos!$C$9+7*2</f>
        <v>46321</v>
      </c>
      <c r="G5" s="19" t="n">
        <f aca="false">Supuestos!$C$9+7*2+6</f>
        <v>46327</v>
      </c>
      <c r="H5" s="18" t="n">
        <f aca="false">Supuestos!$C$9+7*3</f>
        <v>46328</v>
      </c>
      <c r="I5" s="19" t="n">
        <f aca="false">Supuestos!$C$9+7*3+6</f>
        <v>46334</v>
      </c>
      <c r="J5" s="18" t="n">
        <f aca="false">Supuestos!$C$9+7*4</f>
        <v>46335</v>
      </c>
      <c r="K5" s="19" t="n">
        <f aca="false">Supuestos!$C$9+7*4+6</f>
        <v>46341</v>
      </c>
      <c r="L5" s="18" t="n">
        <f aca="false">Supuestos!$C$9+7*5</f>
        <v>46342</v>
      </c>
      <c r="M5" s="19" t="n">
        <f aca="false">Supuestos!$C$9+7*5+6</f>
        <v>46348</v>
      </c>
      <c r="N5" s="18" t="n">
        <f aca="false">Supuestos!$C$9+7*6</f>
        <v>46349</v>
      </c>
      <c r="O5" s="19" t="n">
        <f aca="false">Supuestos!$C$9+7*6+6</f>
        <v>46355</v>
      </c>
      <c r="P5" s="18" t="n">
        <f aca="false">Supuestos!$C$9+7*7</f>
        <v>46356</v>
      </c>
      <c r="Q5" s="19" t="n">
        <f aca="false">Supuestos!$C$9+7*7+6</f>
        <v>46362</v>
      </c>
      <c r="R5" s="18" t="n">
        <f aca="false">Supuestos!$C$9+7*8</f>
        <v>46363</v>
      </c>
      <c r="S5" s="19" t="n">
        <f aca="false">Supuestos!$C$9+7*8+6</f>
        <v>46369</v>
      </c>
      <c r="T5" s="18" t="n">
        <f aca="false">Supuestos!$C$9+7*9</f>
        <v>46370</v>
      </c>
      <c r="U5" s="19" t="n">
        <f aca="false">Supuestos!$C$9+7*9+6</f>
        <v>46376</v>
      </c>
      <c r="V5" s="18" t="n">
        <f aca="false">Supuestos!$C$9+7*10</f>
        <v>46377</v>
      </c>
      <c r="W5" s="19" t="n">
        <f aca="false">Supuestos!$C$9+7*10+6</f>
        <v>46383</v>
      </c>
      <c r="X5" s="18" t="n">
        <f aca="false">Supuestos!$C$9+7*11</f>
        <v>46384</v>
      </c>
      <c r="Y5" s="19" t="n">
        <f aca="false">Supuestos!$C$9+7*11+6</f>
        <v>46390</v>
      </c>
      <c r="Z5" s="18" t="n">
        <f aca="false">Supuestos!$C$9+7*12</f>
        <v>46391</v>
      </c>
      <c r="AA5" s="19" t="n">
        <f aca="false">Supuestos!$C$9+7*12+6</f>
        <v>46397</v>
      </c>
    </row>
    <row r="6" customFormat="false" ht="15.75" hidden="false" customHeight="true" outlineLevel="0" collapsed="false">
      <c r="A6" s="20" t="s">
        <v>27</v>
      </c>
      <c r="B6" s="21" t="s">
        <v>28</v>
      </c>
      <c r="C6" s="21" t="s">
        <v>29</v>
      </c>
      <c r="D6" s="21" t="s">
        <v>28</v>
      </c>
      <c r="E6" s="21" t="s">
        <v>29</v>
      </c>
      <c r="F6" s="21" t="s">
        <v>28</v>
      </c>
      <c r="G6" s="21" t="s">
        <v>29</v>
      </c>
      <c r="H6" s="21" t="s">
        <v>28</v>
      </c>
      <c r="I6" s="21" t="s">
        <v>29</v>
      </c>
      <c r="J6" s="21" t="s">
        <v>28</v>
      </c>
      <c r="K6" s="21" t="s">
        <v>29</v>
      </c>
      <c r="L6" s="21" t="s">
        <v>28</v>
      </c>
      <c r="M6" s="21" t="s">
        <v>29</v>
      </c>
      <c r="N6" s="21" t="s">
        <v>28</v>
      </c>
      <c r="O6" s="21" t="s">
        <v>29</v>
      </c>
      <c r="P6" s="21" t="s">
        <v>28</v>
      </c>
      <c r="Q6" s="21" t="s">
        <v>29</v>
      </c>
      <c r="R6" s="21" t="s">
        <v>28</v>
      </c>
      <c r="S6" s="21" t="s">
        <v>29</v>
      </c>
      <c r="T6" s="21" t="s">
        <v>28</v>
      </c>
      <c r="U6" s="21" t="s">
        <v>29</v>
      </c>
      <c r="V6" s="21" t="s">
        <v>28</v>
      </c>
      <c r="W6" s="21" t="s">
        <v>29</v>
      </c>
      <c r="X6" s="21" t="s">
        <v>28</v>
      </c>
      <c r="Y6" s="21" t="s">
        <v>29</v>
      </c>
      <c r="Z6" s="21" t="s">
        <v>28</v>
      </c>
      <c r="AA6" s="21" t="s">
        <v>29</v>
      </c>
    </row>
    <row r="7" customFormat="false" ht="15" hidden="false" customHeight="false" outlineLevel="0" collapsed="false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</row>
    <row r="8" customFormat="false" ht="16.5" hidden="false" customHeight="true" outlineLevel="0" collapsed="false">
      <c r="A8" s="23" t="s">
        <v>30</v>
      </c>
      <c r="B8" s="24" t="n">
        <f aca="false">Supuestos!$C$6</f>
        <v>1284630</v>
      </c>
      <c r="C8" s="25" t="n">
        <f aca="false">Supuestos!$C$6</f>
        <v>1284630</v>
      </c>
      <c r="D8" s="24" t="n">
        <f aca="false">IF(C35=1,C31,B31)</f>
        <v>1001840</v>
      </c>
      <c r="E8" s="25" t="n">
        <f aca="false">IF(C35=1,C31,B31)</f>
        <v>1001840</v>
      </c>
      <c r="F8" s="24" t="n">
        <f aca="false">IF(E35=1,E31,D31)</f>
        <v>1223020</v>
      </c>
      <c r="G8" s="25" t="n">
        <f aca="false">IF(E35=1,E31,D31)</f>
        <v>1223020</v>
      </c>
      <c r="H8" s="24" t="n">
        <f aca="false">IF(G35=1,G31,F31)</f>
        <v>1126770</v>
      </c>
      <c r="I8" s="25" t="n">
        <f aca="false">IF(G35=1,G31,F31)</f>
        <v>1126770</v>
      </c>
      <c r="J8" s="24" t="n">
        <f aca="false">IF(I35=1,I31,H31)</f>
        <v>1329340</v>
      </c>
      <c r="K8" s="25" t="n">
        <f aca="false">IF(I35=1,I31,H31)</f>
        <v>1329340</v>
      </c>
      <c r="L8" s="24" t="n">
        <f aca="false">IF(K35=1,K31,J31)</f>
        <v>1329302</v>
      </c>
      <c r="M8" s="25" t="n">
        <f aca="false">IF(K35=1,K31,J31)</f>
        <v>1329302</v>
      </c>
      <c r="N8" s="24" t="n">
        <f aca="false">IF(M35=1,M31,L31)</f>
        <v>1314202</v>
      </c>
      <c r="O8" s="25" t="n">
        <f aca="false">IF(M35=1,M31,L31)</f>
        <v>1314202</v>
      </c>
      <c r="P8" s="24" t="n">
        <f aca="false">IF(O35=1,O31,N31)</f>
        <v>1547772</v>
      </c>
      <c r="Q8" s="25" t="n">
        <f aca="false">IF(O35=1,O31,N31)</f>
        <v>1547772</v>
      </c>
      <c r="R8" s="24" t="n">
        <f aca="false">IF(Q35=1,Q31,P31)</f>
        <v>1383042</v>
      </c>
      <c r="S8" s="25" t="n">
        <f aca="false">IF(Q35=1,Q31,P31)</f>
        <v>1383042</v>
      </c>
      <c r="T8" s="24" t="n">
        <f aca="false">IF(S35=1,S31,R31)</f>
        <v>1094804</v>
      </c>
      <c r="U8" s="25" t="n">
        <f aca="false">IF(S35=1,S31,R31)</f>
        <v>1094804</v>
      </c>
      <c r="V8" s="24" t="n">
        <f aca="false">IF(U35=1,U31,T31)</f>
        <v>508454</v>
      </c>
      <c r="W8" s="25" t="n">
        <f aca="false">IF(U35=1,U31,T31)</f>
        <v>508454</v>
      </c>
      <c r="X8" s="24" t="n">
        <f aca="false">IF(W35=1,W31,V31)</f>
        <v>686704</v>
      </c>
      <c r="Y8" s="25" t="n">
        <f aca="false">IF(W35=1,W31,V31)</f>
        <v>686704</v>
      </c>
      <c r="Z8" s="24" t="n">
        <f aca="false">IF(Y35=1,Y31,X31)</f>
        <v>528284</v>
      </c>
      <c r="AA8" s="25" t="n">
        <f aca="false">IF(Y35=1,Y31,X31)</f>
        <v>528284</v>
      </c>
    </row>
    <row r="9" customFormat="false" ht="15" hidden="false" customHeight="false" outlineLevel="0" collapsed="false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customFormat="false" ht="19.5" hidden="false" customHeight="true" outlineLevel="0" collapsed="false">
      <c r="A10" s="26" t="s">
        <v>31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</row>
    <row r="11" customFormat="false" ht="16.5" hidden="false" customHeight="true" outlineLevel="0" collapsed="false">
      <c r="A11" s="27" t="s">
        <v>32</v>
      </c>
      <c r="B11" s="28" t="n">
        <f aca="false">Ejemplo!B11</f>
        <v>236940</v>
      </c>
      <c r="C11" s="29" t="n">
        <f aca="false">Ejemplo!B25</f>
        <v>230540</v>
      </c>
      <c r="D11" s="28" t="n">
        <f aca="false">Ejemplo!C11</f>
        <v>248980</v>
      </c>
      <c r="E11" s="29"/>
      <c r="F11" s="28" t="n">
        <f aca="false">Ejemplo!D11</f>
        <v>255590</v>
      </c>
      <c r="G11" s="29"/>
      <c r="H11" s="28" t="n">
        <f aca="false">Ejemplo!E11</f>
        <v>227030</v>
      </c>
      <c r="I11" s="29"/>
      <c r="J11" s="28" t="n">
        <f aca="false">Ejemplo!F11</f>
        <v>247330</v>
      </c>
      <c r="K11" s="29"/>
      <c r="L11" s="28" t="n">
        <f aca="false">Ejemplo!G11</f>
        <v>244730</v>
      </c>
      <c r="M11" s="29"/>
      <c r="N11" s="28" t="n">
        <f aca="false">Ejemplo!H11</f>
        <v>242840</v>
      </c>
      <c r="O11" s="29"/>
      <c r="P11" s="28" t="n">
        <f aca="false">Ejemplo!I11</f>
        <v>219480</v>
      </c>
      <c r="Q11" s="29"/>
      <c r="R11" s="28" t="n">
        <f aca="false">Ejemplo!J11</f>
        <v>215940</v>
      </c>
      <c r="S11" s="29"/>
      <c r="T11" s="28" t="n">
        <f aca="false">Ejemplo!K11</f>
        <v>231040</v>
      </c>
      <c r="U11" s="29"/>
      <c r="V11" s="28" t="n">
        <f aca="false">Ejemplo!L11</f>
        <v>202030</v>
      </c>
      <c r="W11" s="29"/>
      <c r="X11" s="28" t="n">
        <f aca="false">Ejemplo!M11</f>
        <v>184810</v>
      </c>
      <c r="Y11" s="29"/>
      <c r="Z11" s="28" t="n">
        <f aca="false">Ejemplo!N11</f>
        <v>193520</v>
      </c>
      <c r="AA11" s="29"/>
    </row>
    <row r="12" customFormat="false" ht="16.5" hidden="false" customHeight="true" outlineLevel="0" collapsed="false">
      <c r="A12" s="27" t="s">
        <v>33</v>
      </c>
      <c r="B12" s="28" t="n">
        <f aca="false">Ejemplo!B12</f>
        <v>355200</v>
      </c>
      <c r="C12" s="29" t="n">
        <f aca="false">Ejemplo!B26</f>
        <v>337800</v>
      </c>
      <c r="D12" s="28" t="n">
        <f aca="false">Ejemplo!C12</f>
        <v>398120</v>
      </c>
      <c r="E12" s="29"/>
      <c r="F12" s="28" t="n">
        <f aca="false">Ejemplo!D12</f>
        <v>467200</v>
      </c>
      <c r="G12" s="29"/>
      <c r="H12" s="28" t="n">
        <f aca="false">Ejemplo!E12</f>
        <v>361860</v>
      </c>
      <c r="I12" s="29"/>
      <c r="J12" s="28" t="n">
        <f aca="false">Ejemplo!F12</f>
        <v>410700</v>
      </c>
      <c r="K12" s="29"/>
      <c r="L12" s="28" t="n">
        <f aca="false">Ejemplo!G12</f>
        <v>334480</v>
      </c>
      <c r="M12" s="29"/>
      <c r="N12" s="28" t="n">
        <f aca="false">Ejemplo!H12</f>
        <v>395530</v>
      </c>
      <c r="O12" s="29"/>
      <c r="P12" s="28" t="n">
        <f aca="false">Ejemplo!I12</f>
        <v>460820</v>
      </c>
      <c r="Q12" s="29"/>
      <c r="R12" s="28" t="n">
        <f aca="false">Ejemplo!J12</f>
        <v>341510</v>
      </c>
      <c r="S12" s="29"/>
      <c r="T12" s="28" t="n">
        <f aca="false">Ejemplo!K12</f>
        <v>386650</v>
      </c>
      <c r="U12" s="29"/>
      <c r="V12" s="28" t="n">
        <f aca="false">Ejemplo!L12</f>
        <v>307340</v>
      </c>
      <c r="W12" s="29"/>
      <c r="X12" s="28" t="n">
        <f aca="false">Ejemplo!M12</f>
        <v>383800</v>
      </c>
      <c r="Y12" s="29"/>
      <c r="Z12" s="28" t="n">
        <f aca="false">Ejemplo!N12</f>
        <v>283980</v>
      </c>
      <c r="AA12" s="29"/>
    </row>
    <row r="13" customFormat="false" ht="16.5" hidden="false" customHeight="true" outlineLevel="0" collapsed="false">
      <c r="A13" s="27" t="s">
        <v>34</v>
      </c>
      <c r="B13" s="28" t="n">
        <f aca="false">Ejemplo!B13</f>
        <v>0</v>
      </c>
      <c r="C13" s="29" t="n">
        <f aca="false">Ejemplo!B27</f>
        <v>0</v>
      </c>
      <c r="D13" s="28" t="n">
        <f aca="false">Ejemplo!C13</f>
        <v>0</v>
      </c>
      <c r="E13" s="29"/>
      <c r="F13" s="28" t="n">
        <f aca="false">Ejemplo!D13</f>
        <v>0</v>
      </c>
      <c r="G13" s="29"/>
      <c r="H13" s="28" t="n">
        <f aca="false">Ejemplo!E13</f>
        <v>0</v>
      </c>
      <c r="I13" s="29"/>
      <c r="J13" s="28" t="n">
        <f aca="false">Ejemplo!F13</f>
        <v>0</v>
      </c>
      <c r="K13" s="29"/>
      <c r="L13" s="28" t="n">
        <f aca="false">Ejemplo!G13</f>
        <v>0</v>
      </c>
      <c r="M13" s="29"/>
      <c r="N13" s="28" t="n">
        <f aca="false">Ejemplo!H13</f>
        <v>0</v>
      </c>
      <c r="O13" s="29"/>
      <c r="P13" s="28" t="n">
        <f aca="false">Ejemplo!I13</f>
        <v>0</v>
      </c>
      <c r="Q13" s="29"/>
      <c r="R13" s="28" t="n">
        <f aca="false">Ejemplo!J13</f>
        <v>0</v>
      </c>
      <c r="S13" s="29"/>
      <c r="T13" s="28" t="n">
        <f aca="false">Ejemplo!K13</f>
        <v>0</v>
      </c>
      <c r="U13" s="29"/>
      <c r="V13" s="28" t="n">
        <f aca="false">Ejemplo!L13</f>
        <v>0</v>
      </c>
      <c r="W13" s="29"/>
      <c r="X13" s="28" t="n">
        <f aca="false">Ejemplo!M13</f>
        <v>0</v>
      </c>
      <c r="Y13" s="29"/>
      <c r="Z13" s="28" t="n">
        <f aca="false">Ejemplo!N13</f>
        <v>0</v>
      </c>
      <c r="AA13" s="29"/>
    </row>
    <row r="14" customFormat="false" ht="16.5" hidden="false" customHeight="true" outlineLevel="0" collapsed="false">
      <c r="A14" s="30" t="s">
        <v>35</v>
      </c>
      <c r="B14" s="31" t="n">
        <f aca="false">SUM(B11:B13)</f>
        <v>592140</v>
      </c>
      <c r="C14" s="32" t="n">
        <f aca="false">SUM(C11:C13)</f>
        <v>568340</v>
      </c>
      <c r="D14" s="31" t="n">
        <f aca="false">SUM(D11:D13)</f>
        <v>647100</v>
      </c>
      <c r="E14" s="32" t="n">
        <f aca="false">SUM(E11:E13)</f>
        <v>0</v>
      </c>
      <c r="F14" s="31" t="n">
        <f aca="false">SUM(F11:F13)</f>
        <v>722790</v>
      </c>
      <c r="G14" s="32" t="n">
        <f aca="false">SUM(G11:G13)</f>
        <v>0</v>
      </c>
      <c r="H14" s="31" t="n">
        <f aca="false">SUM(H11:H13)</f>
        <v>588890</v>
      </c>
      <c r="I14" s="32" t="n">
        <f aca="false">SUM(I11:I13)</f>
        <v>0</v>
      </c>
      <c r="J14" s="31" t="n">
        <f aca="false">SUM(J11:J13)</f>
        <v>658030</v>
      </c>
      <c r="K14" s="32" t="n">
        <f aca="false">SUM(K11:K13)</f>
        <v>0</v>
      </c>
      <c r="L14" s="31" t="n">
        <f aca="false">SUM(L11:L13)</f>
        <v>579210</v>
      </c>
      <c r="M14" s="32" t="n">
        <f aca="false">SUM(M11:M13)</f>
        <v>0</v>
      </c>
      <c r="N14" s="31" t="n">
        <f aca="false">SUM(N11:N13)</f>
        <v>638370</v>
      </c>
      <c r="O14" s="32" t="n">
        <f aca="false">SUM(O11:O13)</f>
        <v>0</v>
      </c>
      <c r="P14" s="31" t="n">
        <f aca="false">SUM(P11:P13)</f>
        <v>680300</v>
      </c>
      <c r="Q14" s="32" t="n">
        <f aca="false">SUM(Q11:Q13)</f>
        <v>0</v>
      </c>
      <c r="R14" s="31" t="n">
        <f aca="false">SUM(R11:R13)</f>
        <v>557450</v>
      </c>
      <c r="S14" s="32" t="n">
        <f aca="false">SUM(S11:S13)</f>
        <v>0</v>
      </c>
      <c r="T14" s="31" t="n">
        <f aca="false">SUM(T11:T13)</f>
        <v>617690</v>
      </c>
      <c r="U14" s="32" t="n">
        <f aca="false">SUM(U11:U13)</f>
        <v>0</v>
      </c>
      <c r="V14" s="31" t="n">
        <f aca="false">SUM(V11:V13)</f>
        <v>509370</v>
      </c>
      <c r="W14" s="32" t="n">
        <f aca="false">SUM(W11:W13)</f>
        <v>0</v>
      </c>
      <c r="X14" s="31" t="n">
        <f aca="false">SUM(X11:X13)</f>
        <v>568610</v>
      </c>
      <c r="Y14" s="32" t="n">
        <f aca="false">SUM(Y11:Y13)</f>
        <v>0</v>
      </c>
      <c r="Z14" s="31" t="n">
        <f aca="false">SUM(Z11:Z13)</f>
        <v>477500</v>
      </c>
      <c r="AA14" s="32" t="n">
        <f aca="false">SUM(AA11:AA13)</f>
        <v>0</v>
      </c>
    </row>
    <row r="15" customFormat="false" ht="15" hidden="false" customHeight="false" outlineLevel="0" collapsed="false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</row>
    <row r="16" customFormat="false" ht="19.5" hidden="false" customHeight="true" outlineLevel="0" collapsed="false">
      <c r="A16" s="26" t="s">
        <v>36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</row>
    <row r="17" customFormat="false" ht="16.5" hidden="false" customHeight="true" outlineLevel="0" collapsed="false">
      <c r="A17" s="27" t="s">
        <v>37</v>
      </c>
      <c r="B17" s="28" t="n">
        <f aca="false">Ejemplo!B14</f>
        <v>354820</v>
      </c>
      <c r="C17" s="29" t="n">
        <f aca="false">Ejemplo!B28</f>
        <v>361210</v>
      </c>
      <c r="D17" s="28" t="n">
        <f aca="false">Ejemplo!C14</f>
        <v>378750</v>
      </c>
      <c r="E17" s="29"/>
      <c r="F17" s="28" t="n">
        <f aca="false">Ejemplo!D14</f>
        <v>405280</v>
      </c>
      <c r="G17" s="29"/>
      <c r="H17" s="28" t="n">
        <f aca="false">Ejemplo!E14</f>
        <v>338620</v>
      </c>
      <c r="I17" s="29"/>
      <c r="J17" s="28" t="n">
        <f aca="false">Ejemplo!F14</f>
        <v>322430</v>
      </c>
      <c r="K17" s="29"/>
      <c r="L17" s="28" t="n">
        <f aca="false">Ejemplo!G14</f>
        <v>382980</v>
      </c>
      <c r="M17" s="29"/>
      <c r="N17" s="28" t="n">
        <f aca="false">Ejemplo!H14</f>
        <v>350240</v>
      </c>
      <c r="O17" s="29"/>
      <c r="P17" s="28" t="n">
        <f aca="false">Ejemplo!I14</f>
        <v>433270</v>
      </c>
      <c r="Q17" s="29"/>
      <c r="R17" s="28" t="n">
        <f aca="false">Ejemplo!J14</f>
        <v>326660</v>
      </c>
      <c r="S17" s="29"/>
      <c r="T17" s="28" t="n">
        <f aca="false">Ejemplo!K14</f>
        <v>373820</v>
      </c>
      <c r="U17" s="29"/>
      <c r="V17" s="28" t="n">
        <f aca="false">Ejemplo!L14</f>
        <v>280630</v>
      </c>
      <c r="W17" s="29"/>
      <c r="X17" s="28" t="n">
        <f aca="false">Ejemplo!M14</f>
        <v>320520</v>
      </c>
      <c r="Y17" s="29"/>
      <c r="Z17" s="28" t="n">
        <f aca="false">Ejemplo!N14</f>
        <v>238660</v>
      </c>
      <c r="AA17" s="29"/>
    </row>
    <row r="18" customFormat="false" ht="16.5" hidden="false" customHeight="true" outlineLevel="0" collapsed="false">
      <c r="A18" s="27" t="s">
        <v>38</v>
      </c>
      <c r="B18" s="28" t="n">
        <f aca="false">Ejemplo!B15</f>
        <v>216380</v>
      </c>
      <c r="C18" s="29" t="n">
        <f aca="false">Ejemplo!B29</f>
        <v>216380</v>
      </c>
      <c r="D18" s="28" t="n">
        <f aca="false">Ejemplo!C15</f>
        <v>0</v>
      </c>
      <c r="E18" s="29"/>
      <c r="F18" s="28" t="n">
        <f aca="false">Ejemplo!D15</f>
        <v>216380</v>
      </c>
      <c r="G18" s="29"/>
      <c r="H18" s="28" t="n">
        <f aca="false">Ejemplo!E15</f>
        <v>0</v>
      </c>
      <c r="I18" s="29"/>
      <c r="J18" s="28" t="n">
        <f aca="false">Ejemplo!F15</f>
        <v>216380</v>
      </c>
      <c r="K18" s="29"/>
      <c r="L18" s="28" t="n">
        <f aca="false">Ejemplo!G15</f>
        <v>0</v>
      </c>
      <c r="M18" s="29"/>
      <c r="N18" s="28" t="n">
        <f aca="false">Ejemplo!H15</f>
        <v>0</v>
      </c>
      <c r="O18" s="29"/>
      <c r="P18" s="28" t="n">
        <f aca="false">Ejemplo!I15</f>
        <v>216380</v>
      </c>
      <c r="Q18" s="29"/>
      <c r="R18" s="28" t="n">
        <f aca="false">Ejemplo!J15</f>
        <v>0</v>
      </c>
      <c r="S18" s="29"/>
      <c r="T18" s="28" t="n">
        <f aca="false">Ejemplo!K15</f>
        <v>615120</v>
      </c>
      <c r="U18" s="29"/>
      <c r="V18" s="28" t="n">
        <f aca="false">Ejemplo!L15</f>
        <v>0</v>
      </c>
      <c r="W18" s="29"/>
      <c r="X18" s="28" t="n">
        <f aca="false">Ejemplo!M15</f>
        <v>216380</v>
      </c>
      <c r="Y18" s="29"/>
      <c r="Z18" s="28" t="n">
        <f aca="false">Ejemplo!N15</f>
        <v>0</v>
      </c>
      <c r="AA18" s="29"/>
    </row>
    <row r="19" customFormat="false" ht="16.5" hidden="false" customHeight="true" outlineLevel="0" collapsed="false">
      <c r="A19" s="27" t="s">
        <v>39</v>
      </c>
      <c r="B19" s="28" t="n">
        <f aca="false">Ejemplo!B16</f>
        <v>20220</v>
      </c>
      <c r="C19" s="29" t="n">
        <f aca="false">Ejemplo!B30</f>
        <v>20640</v>
      </c>
      <c r="D19" s="28" t="n">
        <f aca="false">Ejemplo!C16</f>
        <v>16760</v>
      </c>
      <c r="E19" s="29"/>
      <c r="F19" s="28" t="n">
        <f aca="false">Ejemplo!D16</f>
        <v>98410</v>
      </c>
      <c r="G19" s="29"/>
      <c r="H19" s="28" t="n">
        <f aca="false">Ejemplo!E16</f>
        <v>20020</v>
      </c>
      <c r="I19" s="29"/>
      <c r="J19" s="28" t="n">
        <f aca="false">Ejemplo!F16</f>
        <v>26570</v>
      </c>
      <c r="K19" s="29"/>
      <c r="L19" s="28" t="n">
        <f aca="false">Ejemplo!G16</f>
        <v>20240</v>
      </c>
      <c r="M19" s="29"/>
      <c r="N19" s="28" t="n">
        <f aca="false">Ejemplo!H16</f>
        <v>24560</v>
      </c>
      <c r="O19" s="29"/>
      <c r="P19" s="28" t="n">
        <f aca="false">Ejemplo!I16</f>
        <v>98410</v>
      </c>
      <c r="Q19" s="29"/>
      <c r="R19" s="28" t="n">
        <f aca="false">Ejemplo!J16</f>
        <v>18770</v>
      </c>
      <c r="S19" s="29"/>
      <c r="T19" s="28" t="n">
        <f aca="false">Ejemplo!K16</f>
        <v>22200</v>
      </c>
      <c r="U19" s="29"/>
      <c r="V19" s="28" t="n">
        <f aca="false">Ejemplo!L16</f>
        <v>26550</v>
      </c>
      <c r="W19" s="29"/>
      <c r="X19" s="28" t="n">
        <f aca="false">Ejemplo!M16</f>
        <v>98410</v>
      </c>
      <c r="Y19" s="29"/>
      <c r="Z19" s="28" t="n">
        <f aca="false">Ejemplo!N16</f>
        <v>20090</v>
      </c>
      <c r="AA19" s="29"/>
    </row>
    <row r="20" customFormat="false" ht="16.5" hidden="false" customHeight="true" outlineLevel="0" collapsed="false">
      <c r="A20" s="27" t="s">
        <v>40</v>
      </c>
      <c r="B20" s="28" t="n">
        <f aca="false">Ejemplo!B17</f>
        <v>27830</v>
      </c>
      <c r="C20" s="29" t="n">
        <f aca="false">Ejemplo!B31</f>
        <v>27270</v>
      </c>
      <c r="D20" s="28" t="n">
        <f aca="false">Ejemplo!C17</f>
        <v>30410</v>
      </c>
      <c r="E20" s="29"/>
      <c r="F20" s="28" t="n">
        <f aca="false">Ejemplo!D17</f>
        <v>33970</v>
      </c>
      <c r="G20" s="29"/>
      <c r="H20" s="28" t="n">
        <f aca="false">Ejemplo!E17</f>
        <v>27680</v>
      </c>
      <c r="I20" s="29"/>
      <c r="J20" s="28" t="n">
        <f aca="false">Ejemplo!F17</f>
        <v>30930</v>
      </c>
      <c r="K20" s="29"/>
      <c r="L20" s="28" t="n">
        <f aca="false">Ejemplo!G17</f>
        <v>27220</v>
      </c>
      <c r="M20" s="29"/>
      <c r="N20" s="28" t="n">
        <f aca="false">Ejemplo!H17</f>
        <v>30000</v>
      </c>
      <c r="O20" s="29"/>
      <c r="P20" s="28" t="n">
        <f aca="false">Ejemplo!I17</f>
        <v>31970</v>
      </c>
      <c r="Q20" s="29"/>
      <c r="R20" s="28" t="n">
        <f aca="false">Ejemplo!J17</f>
        <v>26200</v>
      </c>
      <c r="S20" s="29"/>
      <c r="T20" s="28" t="n">
        <f aca="false">Ejemplo!K17</f>
        <v>29030</v>
      </c>
      <c r="U20" s="29"/>
      <c r="V20" s="28" t="n">
        <f aca="false">Ejemplo!L17</f>
        <v>23940</v>
      </c>
      <c r="W20" s="29"/>
      <c r="X20" s="28" t="n">
        <f aca="false">Ejemplo!M17</f>
        <v>26720</v>
      </c>
      <c r="Y20" s="29"/>
      <c r="Z20" s="28" t="n">
        <f aca="false">Ejemplo!N17</f>
        <v>22440</v>
      </c>
      <c r="AA20" s="29"/>
    </row>
    <row r="21" customFormat="false" ht="16.5" hidden="false" customHeight="true" outlineLevel="0" collapsed="false">
      <c r="A21" s="27" t="s">
        <v>41</v>
      </c>
      <c r="B21" s="28" t="n">
        <f aca="false">Ejemplo!B18</f>
        <v>163870</v>
      </c>
      <c r="C21" s="29" t="n">
        <f aca="false">Ejemplo!B32</f>
        <v>163870</v>
      </c>
      <c r="D21" s="28" t="n">
        <f aca="false">Ejemplo!C18</f>
        <v>0</v>
      </c>
      <c r="E21" s="29"/>
      <c r="F21" s="28" t="n">
        <f aca="false">Ejemplo!D18</f>
        <v>0</v>
      </c>
      <c r="G21" s="29"/>
      <c r="H21" s="28" t="n">
        <f aca="false">Ejemplo!E18</f>
        <v>0</v>
      </c>
      <c r="I21" s="29"/>
      <c r="J21" s="28" t="n">
        <f aca="false">Ejemplo!F18</f>
        <v>0</v>
      </c>
      <c r="K21" s="29"/>
      <c r="L21" s="28" t="n">
        <f aca="false">Ejemplo!G18</f>
        <v>163870</v>
      </c>
      <c r="M21" s="29"/>
      <c r="N21" s="28" t="n">
        <f aca="false">Ejemplo!H18</f>
        <v>0</v>
      </c>
      <c r="O21" s="29"/>
      <c r="P21" s="28" t="n">
        <f aca="false">Ejemplo!I18</f>
        <v>0</v>
      </c>
      <c r="Q21" s="29"/>
      <c r="R21" s="28" t="n">
        <f aca="false">Ejemplo!J18</f>
        <v>0</v>
      </c>
      <c r="S21" s="29"/>
      <c r="T21" s="28" t="n">
        <f aca="false">Ejemplo!K18</f>
        <v>163870</v>
      </c>
      <c r="U21" s="29"/>
      <c r="V21" s="28" t="n">
        <f aca="false">Ejemplo!L18</f>
        <v>0</v>
      </c>
      <c r="W21" s="29"/>
      <c r="X21" s="28" t="n">
        <f aca="false">Ejemplo!M18</f>
        <v>0</v>
      </c>
      <c r="Y21" s="29"/>
      <c r="Z21" s="28" t="n">
        <f aca="false">Ejemplo!N18</f>
        <v>0</v>
      </c>
      <c r="AA21" s="29"/>
    </row>
    <row r="22" customFormat="false" ht="16.5" hidden="false" customHeight="true" outlineLevel="0" collapsed="false">
      <c r="A22" s="27" t="s">
        <v>42</v>
      </c>
      <c r="B22" s="28" t="n">
        <f aca="false">Ejemplo!B19</f>
        <v>47916</v>
      </c>
      <c r="C22" s="29" t="n">
        <f aca="false">Ejemplo!B33</f>
        <v>47920</v>
      </c>
      <c r="D22" s="28" t="n">
        <f aca="false">Ejemplo!C19</f>
        <v>0</v>
      </c>
      <c r="E22" s="29"/>
      <c r="F22" s="28" t="n">
        <f aca="false">Ejemplo!D19</f>
        <v>0</v>
      </c>
      <c r="G22" s="29"/>
      <c r="H22" s="28" t="n">
        <f aca="false">Ejemplo!E19</f>
        <v>0</v>
      </c>
      <c r="I22" s="29"/>
      <c r="J22" s="28" t="n">
        <f aca="false">Ejemplo!F19</f>
        <v>47916</v>
      </c>
      <c r="K22" s="29"/>
      <c r="L22" s="28" t="n">
        <f aca="false">Ejemplo!G19</f>
        <v>0</v>
      </c>
      <c r="M22" s="29"/>
      <c r="N22" s="28" t="n">
        <f aca="false">Ejemplo!H19</f>
        <v>0</v>
      </c>
      <c r="O22" s="29"/>
      <c r="P22" s="28" t="n">
        <f aca="false">Ejemplo!I19</f>
        <v>0</v>
      </c>
      <c r="Q22" s="29"/>
      <c r="R22" s="28" t="n">
        <f aca="false">Ejemplo!J19</f>
        <v>47916</v>
      </c>
      <c r="S22" s="29"/>
      <c r="T22" s="28" t="n">
        <f aca="false">Ejemplo!K19</f>
        <v>0</v>
      </c>
      <c r="U22" s="29"/>
      <c r="V22" s="28" t="n">
        <f aca="false">Ejemplo!L19</f>
        <v>0</v>
      </c>
      <c r="W22" s="29"/>
      <c r="X22" s="28" t="n">
        <f aca="false">Ejemplo!M19</f>
        <v>0</v>
      </c>
      <c r="Y22" s="29"/>
      <c r="Z22" s="28" t="n">
        <f aca="false">Ejemplo!N19</f>
        <v>0</v>
      </c>
      <c r="AA22" s="29"/>
    </row>
    <row r="23" customFormat="false" ht="16.5" hidden="false" customHeight="true" outlineLevel="0" collapsed="false">
      <c r="A23" s="27" t="s">
        <v>43</v>
      </c>
      <c r="B23" s="28" t="n">
        <f aca="false">Ejemplo!B20</f>
        <v>13842</v>
      </c>
      <c r="C23" s="29" t="n">
        <f aca="false">Ejemplo!B34</f>
        <v>13840</v>
      </c>
      <c r="D23" s="28" t="n">
        <f aca="false">Ejemplo!C20</f>
        <v>0</v>
      </c>
      <c r="E23" s="29"/>
      <c r="F23" s="28" t="n">
        <f aca="false">Ejemplo!D20</f>
        <v>0</v>
      </c>
      <c r="G23" s="29"/>
      <c r="H23" s="28" t="n">
        <f aca="false">Ejemplo!E20</f>
        <v>0</v>
      </c>
      <c r="I23" s="29"/>
      <c r="J23" s="28" t="n">
        <f aca="false">Ejemplo!F20</f>
        <v>13842</v>
      </c>
      <c r="K23" s="29"/>
      <c r="L23" s="28" t="n">
        <f aca="false">Ejemplo!G20</f>
        <v>0</v>
      </c>
      <c r="M23" s="29"/>
      <c r="N23" s="28" t="n">
        <f aca="false">Ejemplo!H20</f>
        <v>0</v>
      </c>
      <c r="O23" s="29"/>
      <c r="P23" s="28" t="n">
        <f aca="false">Ejemplo!I20</f>
        <v>0</v>
      </c>
      <c r="Q23" s="29"/>
      <c r="R23" s="28" t="n">
        <f aca="false">Ejemplo!J20</f>
        <v>13842</v>
      </c>
      <c r="S23" s="29"/>
      <c r="T23" s="28" t="n">
        <f aca="false">Ejemplo!K20</f>
        <v>0</v>
      </c>
      <c r="U23" s="29"/>
      <c r="V23" s="28" t="n">
        <f aca="false">Ejemplo!L20</f>
        <v>0</v>
      </c>
      <c r="W23" s="29"/>
      <c r="X23" s="28" t="n">
        <f aca="false">Ejemplo!M20</f>
        <v>0</v>
      </c>
      <c r="Y23" s="29"/>
      <c r="Z23" s="28" t="n">
        <f aca="false">Ejemplo!N20</f>
        <v>0</v>
      </c>
      <c r="AA23" s="29"/>
    </row>
    <row r="24" customFormat="false" ht="16.5" hidden="false" customHeight="true" outlineLevel="0" collapsed="false">
      <c r="A24" s="27" t="s">
        <v>44</v>
      </c>
      <c r="B24" s="28" t="n">
        <f aca="false">Ejemplo!B21</f>
        <v>0</v>
      </c>
      <c r="C24" s="29" t="n">
        <f aca="false">Ejemplo!B35</f>
        <v>0</v>
      </c>
      <c r="D24" s="28" t="n">
        <f aca="false">Ejemplo!C21</f>
        <v>0</v>
      </c>
      <c r="E24" s="29"/>
      <c r="F24" s="28" t="n">
        <f aca="false">Ejemplo!D21</f>
        <v>0</v>
      </c>
      <c r="G24" s="29"/>
      <c r="H24" s="28" t="n">
        <f aca="false">Ejemplo!E21</f>
        <v>0</v>
      </c>
      <c r="I24" s="29"/>
      <c r="J24" s="28" t="n">
        <f aca="false">Ejemplo!F21</f>
        <v>0</v>
      </c>
      <c r="K24" s="29"/>
      <c r="L24" s="28" t="n">
        <f aca="false">Ejemplo!G21</f>
        <v>0</v>
      </c>
      <c r="M24" s="29"/>
      <c r="N24" s="28" t="n">
        <f aca="false">Ejemplo!H21</f>
        <v>0</v>
      </c>
      <c r="O24" s="29"/>
      <c r="P24" s="28" t="n">
        <f aca="false">Ejemplo!I21</f>
        <v>0</v>
      </c>
      <c r="Q24" s="29"/>
      <c r="R24" s="28" t="n">
        <f aca="false">Ejemplo!J21</f>
        <v>412300</v>
      </c>
      <c r="S24" s="29"/>
      <c r="T24" s="28" t="n">
        <f aca="false">Ejemplo!K21</f>
        <v>0</v>
      </c>
      <c r="U24" s="29"/>
      <c r="V24" s="28" t="n">
        <f aca="false">Ejemplo!L21</f>
        <v>0</v>
      </c>
      <c r="W24" s="29"/>
      <c r="X24" s="28" t="n">
        <f aca="false">Ejemplo!M21</f>
        <v>0</v>
      </c>
      <c r="Y24" s="29"/>
      <c r="Z24" s="28" t="n">
        <f aca="false">Ejemplo!N21</f>
        <v>0</v>
      </c>
      <c r="AA24" s="29"/>
    </row>
    <row r="25" customFormat="false" ht="16.5" hidden="false" customHeight="true" outlineLevel="0" collapsed="false">
      <c r="A25" s="27" t="s">
        <v>45</v>
      </c>
      <c r="B25" s="28" t="n">
        <f aca="false">Ejemplo!B22</f>
        <v>0</v>
      </c>
      <c r="C25" s="29" t="n">
        <f aca="false">Ejemplo!B36</f>
        <v>0</v>
      </c>
      <c r="D25" s="28" t="n">
        <f aca="false">Ejemplo!C22</f>
        <v>0</v>
      </c>
      <c r="E25" s="29"/>
      <c r="F25" s="28" t="n">
        <f aca="false">Ejemplo!D22</f>
        <v>65000</v>
      </c>
      <c r="G25" s="29"/>
      <c r="H25" s="28" t="n">
        <f aca="false">Ejemplo!E22</f>
        <v>0</v>
      </c>
      <c r="I25" s="29"/>
      <c r="J25" s="28" t="n">
        <f aca="false">Ejemplo!F22</f>
        <v>0</v>
      </c>
      <c r="K25" s="29"/>
      <c r="L25" s="28" t="n">
        <f aca="false">Ejemplo!G22</f>
        <v>0</v>
      </c>
      <c r="M25" s="29"/>
      <c r="N25" s="28" t="n">
        <f aca="false">Ejemplo!H22</f>
        <v>0</v>
      </c>
      <c r="O25" s="29"/>
      <c r="P25" s="28" t="n">
        <f aca="false">Ejemplo!I22</f>
        <v>65000</v>
      </c>
      <c r="Q25" s="29"/>
      <c r="R25" s="28" t="n">
        <f aca="false">Ejemplo!J22</f>
        <v>0</v>
      </c>
      <c r="S25" s="29"/>
      <c r="T25" s="28" t="n">
        <f aca="false">Ejemplo!K22</f>
        <v>0</v>
      </c>
      <c r="U25" s="29"/>
      <c r="V25" s="28" t="n">
        <f aca="false">Ejemplo!L22</f>
        <v>0</v>
      </c>
      <c r="W25" s="29"/>
      <c r="X25" s="28" t="n">
        <f aca="false">Ejemplo!M22</f>
        <v>65000</v>
      </c>
      <c r="Y25" s="29"/>
      <c r="Z25" s="28" t="n">
        <f aca="false">Ejemplo!N22</f>
        <v>0</v>
      </c>
      <c r="AA25" s="29"/>
    </row>
    <row r="26" customFormat="false" ht="16.5" hidden="false" customHeight="true" outlineLevel="0" collapsed="false">
      <c r="A26" s="30" t="s">
        <v>46</v>
      </c>
      <c r="B26" s="31" t="n">
        <f aca="false">SUM(B17:B25)</f>
        <v>844878</v>
      </c>
      <c r="C26" s="32" t="n">
        <f aca="false">SUM(C17:C25)</f>
        <v>851130</v>
      </c>
      <c r="D26" s="31" t="n">
        <f aca="false">SUM(D17:D25)</f>
        <v>425920</v>
      </c>
      <c r="E26" s="32" t="n">
        <f aca="false">SUM(E17:E25)</f>
        <v>0</v>
      </c>
      <c r="F26" s="31" t="n">
        <f aca="false">SUM(F17:F25)</f>
        <v>819040</v>
      </c>
      <c r="G26" s="32" t="n">
        <f aca="false">SUM(G17:G25)</f>
        <v>0</v>
      </c>
      <c r="H26" s="31" t="n">
        <f aca="false">SUM(H17:H25)</f>
        <v>386320</v>
      </c>
      <c r="I26" s="32" t="n">
        <f aca="false">SUM(I17:I25)</f>
        <v>0</v>
      </c>
      <c r="J26" s="31" t="n">
        <f aca="false">SUM(J17:J25)</f>
        <v>658068</v>
      </c>
      <c r="K26" s="32" t="n">
        <f aca="false">SUM(K17:K25)</f>
        <v>0</v>
      </c>
      <c r="L26" s="31" t="n">
        <f aca="false">SUM(L17:L25)</f>
        <v>594310</v>
      </c>
      <c r="M26" s="32" t="n">
        <f aca="false">SUM(M17:M25)</f>
        <v>0</v>
      </c>
      <c r="N26" s="31" t="n">
        <f aca="false">SUM(N17:N25)</f>
        <v>404800</v>
      </c>
      <c r="O26" s="32" t="n">
        <f aca="false">SUM(O17:O25)</f>
        <v>0</v>
      </c>
      <c r="P26" s="31" t="n">
        <f aca="false">SUM(P17:P25)</f>
        <v>845030</v>
      </c>
      <c r="Q26" s="32" t="n">
        <f aca="false">SUM(Q17:Q25)</f>
        <v>0</v>
      </c>
      <c r="R26" s="31" t="n">
        <f aca="false">SUM(R17:R25)</f>
        <v>845688</v>
      </c>
      <c r="S26" s="32" t="n">
        <f aca="false">SUM(S17:S25)</f>
        <v>0</v>
      </c>
      <c r="T26" s="31" t="n">
        <f aca="false">SUM(T17:T25)</f>
        <v>1204040</v>
      </c>
      <c r="U26" s="32" t="n">
        <f aca="false">SUM(U17:U25)</f>
        <v>0</v>
      </c>
      <c r="V26" s="31" t="n">
        <f aca="false">SUM(V17:V25)</f>
        <v>331120</v>
      </c>
      <c r="W26" s="32" t="n">
        <f aca="false">SUM(W17:W25)</f>
        <v>0</v>
      </c>
      <c r="X26" s="31" t="n">
        <f aca="false">SUM(X17:X25)</f>
        <v>727030</v>
      </c>
      <c r="Y26" s="32" t="n">
        <f aca="false">SUM(Y17:Y25)</f>
        <v>0</v>
      </c>
      <c r="Z26" s="31" t="n">
        <f aca="false">SUM(Z17:Z25)</f>
        <v>281190</v>
      </c>
      <c r="AA26" s="32" t="n">
        <f aca="false">SUM(AA17:AA25)</f>
        <v>0</v>
      </c>
    </row>
    <row r="27" customFormat="false" ht="15" hidden="false" customHeight="false" outlineLevel="0" collapsed="false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</row>
    <row r="28" customFormat="false" ht="16.5" hidden="false" customHeight="true" outlineLevel="0" collapsed="false">
      <c r="A28" s="23" t="s">
        <v>47</v>
      </c>
      <c r="B28" s="33" t="n">
        <f aca="false">B11+B12-SUM(B17:B21)</f>
        <v>-190980</v>
      </c>
      <c r="C28" s="34" t="n">
        <f aca="false">C11+C12-SUM(C17:C21)</f>
        <v>-221030</v>
      </c>
      <c r="D28" s="33" t="n">
        <f aca="false">D11+D12-SUM(D17:D21)</f>
        <v>221180</v>
      </c>
      <c r="E28" s="34" t="n">
        <f aca="false">E11+E12-SUM(E17:E21)</f>
        <v>0</v>
      </c>
      <c r="F28" s="33" t="n">
        <f aca="false">F11+F12-SUM(F17:F21)</f>
        <v>-31250</v>
      </c>
      <c r="G28" s="34" t="n">
        <f aca="false">G11+G12-SUM(G17:G21)</f>
        <v>0</v>
      </c>
      <c r="H28" s="33" t="n">
        <f aca="false">H11+H12-SUM(H17:H21)</f>
        <v>202570</v>
      </c>
      <c r="I28" s="34" t="n">
        <f aca="false">I11+I12-SUM(I17:I21)</f>
        <v>0</v>
      </c>
      <c r="J28" s="33" t="n">
        <f aca="false">J11+J12-SUM(J17:J21)</f>
        <v>61720</v>
      </c>
      <c r="K28" s="34" t="n">
        <f aca="false">K11+K12-SUM(K17:K21)</f>
        <v>0</v>
      </c>
      <c r="L28" s="33" t="n">
        <f aca="false">L11+L12-SUM(L17:L21)</f>
        <v>-15100</v>
      </c>
      <c r="M28" s="34" t="n">
        <f aca="false">M11+M12-SUM(M17:M21)</f>
        <v>0</v>
      </c>
      <c r="N28" s="33" t="n">
        <f aca="false">N11+N12-SUM(N17:N21)</f>
        <v>233570</v>
      </c>
      <c r="O28" s="34" t="n">
        <f aca="false">O11+O12-SUM(O17:O21)</f>
        <v>0</v>
      </c>
      <c r="P28" s="33" t="n">
        <f aca="false">P11+P12-SUM(P17:P21)</f>
        <v>-99730</v>
      </c>
      <c r="Q28" s="34" t="n">
        <f aca="false">Q11+Q12-SUM(Q17:Q21)</f>
        <v>0</v>
      </c>
      <c r="R28" s="33" t="n">
        <f aca="false">R11+R12-SUM(R17:R21)</f>
        <v>185820</v>
      </c>
      <c r="S28" s="34" t="n">
        <f aca="false">S11+S12-SUM(S17:S21)</f>
        <v>0</v>
      </c>
      <c r="T28" s="33" t="n">
        <f aca="false">T11+T12-SUM(T17:T21)</f>
        <v>-586350</v>
      </c>
      <c r="U28" s="34" t="n">
        <f aca="false">U11+U12-SUM(U17:U21)</f>
        <v>0</v>
      </c>
      <c r="V28" s="33" t="n">
        <f aca="false">V11+V12-SUM(V17:V21)</f>
        <v>178250</v>
      </c>
      <c r="W28" s="34" t="n">
        <f aca="false">W11+W12-SUM(W17:W21)</f>
        <v>0</v>
      </c>
      <c r="X28" s="33" t="n">
        <f aca="false">X11+X12-SUM(X17:X21)</f>
        <v>-93420</v>
      </c>
      <c r="Y28" s="34" t="n">
        <f aca="false">Y11+Y12-SUM(Y17:Y21)</f>
        <v>0</v>
      </c>
      <c r="Z28" s="33" t="n">
        <f aca="false">Z11+Z12-SUM(Z17:Z21)</f>
        <v>196310</v>
      </c>
      <c r="AA28" s="34" t="n">
        <f aca="false">AA11+AA12-SUM(AA17:AA21)</f>
        <v>0</v>
      </c>
    </row>
    <row r="29" customFormat="false" ht="16.5" hidden="false" customHeight="true" outlineLevel="0" collapsed="false">
      <c r="A29" s="23" t="s">
        <v>48</v>
      </c>
      <c r="B29" s="33" t="n">
        <f aca="false">B14-B26</f>
        <v>-252738</v>
      </c>
      <c r="C29" s="34" t="n">
        <f aca="false">C14-C26</f>
        <v>-282790</v>
      </c>
      <c r="D29" s="33" t="n">
        <f aca="false">D14-D26</f>
        <v>221180</v>
      </c>
      <c r="E29" s="34" t="n">
        <f aca="false">E14-E26</f>
        <v>0</v>
      </c>
      <c r="F29" s="33" t="n">
        <f aca="false">F14-F26</f>
        <v>-96250</v>
      </c>
      <c r="G29" s="34" t="n">
        <f aca="false">G14-G26</f>
        <v>0</v>
      </c>
      <c r="H29" s="33" t="n">
        <f aca="false">H14-H26</f>
        <v>202570</v>
      </c>
      <c r="I29" s="34" t="n">
        <f aca="false">I14-I26</f>
        <v>0</v>
      </c>
      <c r="J29" s="33" t="n">
        <f aca="false">J14-J26</f>
        <v>-38</v>
      </c>
      <c r="K29" s="34" t="n">
        <f aca="false">K14-K26</f>
        <v>0</v>
      </c>
      <c r="L29" s="33" t="n">
        <f aca="false">L14-L26</f>
        <v>-15100</v>
      </c>
      <c r="M29" s="34" t="n">
        <f aca="false">M14-M26</f>
        <v>0</v>
      </c>
      <c r="N29" s="33" t="n">
        <f aca="false">N14-N26</f>
        <v>233570</v>
      </c>
      <c r="O29" s="34" t="n">
        <f aca="false">O14-O26</f>
        <v>0</v>
      </c>
      <c r="P29" s="33" t="n">
        <f aca="false">P14-P26</f>
        <v>-164730</v>
      </c>
      <c r="Q29" s="34" t="n">
        <f aca="false">Q14-Q26</f>
        <v>0</v>
      </c>
      <c r="R29" s="33" t="n">
        <f aca="false">R14-R26</f>
        <v>-288238</v>
      </c>
      <c r="S29" s="34" t="n">
        <f aca="false">S14-S26</f>
        <v>0</v>
      </c>
      <c r="T29" s="33" t="n">
        <f aca="false">T14-T26</f>
        <v>-586350</v>
      </c>
      <c r="U29" s="34" t="n">
        <f aca="false">U14-U26</f>
        <v>0</v>
      </c>
      <c r="V29" s="33" t="n">
        <f aca="false">V14-V26</f>
        <v>178250</v>
      </c>
      <c r="W29" s="34" t="n">
        <f aca="false">W14-W26</f>
        <v>0</v>
      </c>
      <c r="X29" s="33" t="n">
        <f aca="false">X14-X26</f>
        <v>-158420</v>
      </c>
      <c r="Y29" s="34" t="n">
        <f aca="false">Y14-Y26</f>
        <v>0</v>
      </c>
      <c r="Z29" s="33" t="n">
        <f aca="false">Z14-Z26</f>
        <v>196310</v>
      </c>
      <c r="AA29" s="34" t="n">
        <f aca="false">AA14-AA26</f>
        <v>0</v>
      </c>
    </row>
    <row r="30" customFormat="false" ht="15" hidden="false" customHeight="false" outlineLevel="0" collapsed="false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</row>
    <row r="31" customFormat="false" ht="21.75" hidden="false" customHeight="true" outlineLevel="0" collapsed="false">
      <c r="A31" s="35" t="s">
        <v>49</v>
      </c>
      <c r="B31" s="36" t="n">
        <f aca="false">B8+B29</f>
        <v>1031892</v>
      </c>
      <c r="C31" s="37" t="n">
        <f aca="false">IF(C35=1,C8+C29,"")</f>
        <v>1001840</v>
      </c>
      <c r="D31" s="36" t="n">
        <f aca="false">D8+D29</f>
        <v>1223020</v>
      </c>
      <c r="E31" s="37" t="str">
        <f aca="false">IF(E35=1,E8+E29,"")</f>
        <v/>
      </c>
      <c r="F31" s="36" t="n">
        <f aca="false">F8+F29</f>
        <v>1126770</v>
      </c>
      <c r="G31" s="37" t="str">
        <f aca="false">IF(G35=1,G8+G29,"")</f>
        <v/>
      </c>
      <c r="H31" s="36" t="n">
        <f aca="false">H8+H29</f>
        <v>1329340</v>
      </c>
      <c r="I31" s="37" t="str">
        <f aca="false">IF(I35=1,I8+I29,"")</f>
        <v/>
      </c>
      <c r="J31" s="36" t="n">
        <f aca="false">J8+J29</f>
        <v>1329302</v>
      </c>
      <c r="K31" s="37" t="str">
        <f aca="false">IF(K35=1,K8+K29,"")</f>
        <v/>
      </c>
      <c r="L31" s="36" t="n">
        <f aca="false">L8+L29</f>
        <v>1314202</v>
      </c>
      <c r="M31" s="37" t="str">
        <f aca="false">IF(M35=1,M8+M29,"")</f>
        <v/>
      </c>
      <c r="N31" s="36" t="n">
        <f aca="false">N8+N29</f>
        <v>1547772</v>
      </c>
      <c r="O31" s="37" t="str">
        <f aca="false">IF(O35=1,O8+O29,"")</f>
        <v/>
      </c>
      <c r="P31" s="36" t="n">
        <f aca="false">P8+P29</f>
        <v>1383042</v>
      </c>
      <c r="Q31" s="37" t="str">
        <f aca="false">IF(Q35=1,Q8+Q29,"")</f>
        <v/>
      </c>
      <c r="R31" s="36" t="n">
        <f aca="false">R8+R29</f>
        <v>1094804</v>
      </c>
      <c r="S31" s="37" t="str">
        <f aca="false">IF(S35=1,S8+S29,"")</f>
        <v/>
      </c>
      <c r="T31" s="36" t="n">
        <f aca="false">T8+T29</f>
        <v>508454</v>
      </c>
      <c r="U31" s="37" t="str">
        <f aca="false">IF(U35=1,U8+U29,"")</f>
        <v/>
      </c>
      <c r="V31" s="36" t="n">
        <f aca="false">V8+V29</f>
        <v>686704</v>
      </c>
      <c r="W31" s="37" t="str">
        <f aca="false">IF(W35=1,W8+W29,"")</f>
        <v/>
      </c>
      <c r="X31" s="36" t="n">
        <f aca="false">X8+X29</f>
        <v>528284</v>
      </c>
      <c r="Y31" s="37" t="str">
        <f aca="false">IF(Y35=1,Y8+Y29,"")</f>
        <v/>
      </c>
      <c r="Z31" s="36" t="n">
        <f aca="false">Z8+Z29</f>
        <v>724594</v>
      </c>
      <c r="AA31" s="37" t="str">
        <f aca="false">IF(AA35=1,AA8+AA29,"")</f>
        <v/>
      </c>
    </row>
    <row r="32" customFormat="false" ht="16.5" hidden="false" customHeight="true" outlineLevel="0" collapsed="false">
      <c r="A32" s="38" t="s">
        <v>50</v>
      </c>
      <c r="B32" s="39" t="n">
        <f aca="false">Supuestos!$C$7</f>
        <v>1000000</v>
      </c>
      <c r="C32" s="40" t="n">
        <f aca="false">Supuestos!$C$7</f>
        <v>1000000</v>
      </c>
      <c r="D32" s="39" t="n">
        <f aca="false">Supuestos!$C$7</f>
        <v>1000000</v>
      </c>
      <c r="E32" s="40" t="n">
        <f aca="false">Supuestos!$C$7</f>
        <v>1000000</v>
      </c>
      <c r="F32" s="39" t="n">
        <f aca="false">Supuestos!$C$7</f>
        <v>1000000</v>
      </c>
      <c r="G32" s="40" t="n">
        <f aca="false">Supuestos!$C$7</f>
        <v>1000000</v>
      </c>
      <c r="H32" s="39" t="n">
        <f aca="false">Supuestos!$C$7</f>
        <v>1000000</v>
      </c>
      <c r="I32" s="40" t="n">
        <f aca="false">Supuestos!$C$7</f>
        <v>1000000</v>
      </c>
      <c r="J32" s="39" t="n">
        <f aca="false">Supuestos!$C$7</f>
        <v>1000000</v>
      </c>
      <c r="K32" s="40" t="n">
        <f aca="false">Supuestos!$C$7</f>
        <v>1000000</v>
      </c>
      <c r="L32" s="39" t="n">
        <f aca="false">Supuestos!$C$7</f>
        <v>1000000</v>
      </c>
      <c r="M32" s="40" t="n">
        <f aca="false">Supuestos!$C$7</f>
        <v>1000000</v>
      </c>
      <c r="N32" s="39" t="n">
        <f aca="false">Supuestos!$C$7</f>
        <v>1000000</v>
      </c>
      <c r="O32" s="40" t="n">
        <f aca="false">Supuestos!$C$7</f>
        <v>1000000</v>
      </c>
      <c r="P32" s="39" t="n">
        <f aca="false">Supuestos!$C$7</f>
        <v>1000000</v>
      </c>
      <c r="Q32" s="40" t="n">
        <f aca="false">Supuestos!$C$7</f>
        <v>1000000</v>
      </c>
      <c r="R32" s="39" t="n">
        <f aca="false">Supuestos!$C$7</f>
        <v>1000000</v>
      </c>
      <c r="S32" s="40" t="n">
        <f aca="false">Supuestos!$C$7</f>
        <v>1000000</v>
      </c>
      <c r="T32" s="39" t="n">
        <f aca="false">Supuestos!$C$7</f>
        <v>1000000</v>
      </c>
      <c r="U32" s="40" t="n">
        <f aca="false">Supuestos!$C$7</f>
        <v>1000000</v>
      </c>
      <c r="V32" s="39" t="n">
        <f aca="false">Supuestos!$C$7</f>
        <v>1000000</v>
      </c>
      <c r="W32" s="40" t="n">
        <f aca="false">Supuestos!$C$7</f>
        <v>1000000</v>
      </c>
      <c r="X32" s="39" t="n">
        <f aca="false">Supuestos!$C$7</f>
        <v>1000000</v>
      </c>
      <c r="Y32" s="40" t="n">
        <f aca="false">Supuestos!$C$7</f>
        <v>1000000</v>
      </c>
      <c r="Z32" s="39" t="n">
        <f aca="false">Supuestos!$C$7</f>
        <v>1000000</v>
      </c>
      <c r="AA32" s="40" t="n">
        <f aca="false">Supuestos!$C$7</f>
        <v>1000000</v>
      </c>
    </row>
    <row r="33" customFormat="false" ht="16.5" hidden="false" customHeight="true" outlineLevel="0" collapsed="false">
      <c r="A33" s="41" t="s">
        <v>51</v>
      </c>
      <c r="B33" s="42" t="n">
        <f aca="false">B31-B32</f>
        <v>31892</v>
      </c>
      <c r="C33" s="43" t="n">
        <f aca="false">IF(C35=1,C31-C32,"")</f>
        <v>1840</v>
      </c>
      <c r="D33" s="42" t="n">
        <f aca="false">D31-D32</f>
        <v>223020</v>
      </c>
      <c r="E33" s="43" t="str">
        <f aca="false">IF(E35=1,E31-E32,"")</f>
        <v/>
      </c>
      <c r="F33" s="42" t="n">
        <f aca="false">F31-F32</f>
        <v>126770</v>
      </c>
      <c r="G33" s="43" t="str">
        <f aca="false">IF(G35=1,G31-G32,"")</f>
        <v/>
      </c>
      <c r="H33" s="42" t="n">
        <f aca="false">H31-H32</f>
        <v>329340</v>
      </c>
      <c r="I33" s="43" t="str">
        <f aca="false">IF(I35=1,I31-I32,"")</f>
        <v/>
      </c>
      <c r="J33" s="42" t="n">
        <f aca="false">J31-J32</f>
        <v>329302</v>
      </c>
      <c r="K33" s="43" t="str">
        <f aca="false">IF(K35=1,K31-K32,"")</f>
        <v/>
      </c>
      <c r="L33" s="42" t="n">
        <f aca="false">L31-L32</f>
        <v>314202</v>
      </c>
      <c r="M33" s="43" t="str">
        <f aca="false">IF(M35=1,M31-M32,"")</f>
        <v/>
      </c>
      <c r="N33" s="42" t="n">
        <f aca="false">N31-N32</f>
        <v>547772</v>
      </c>
      <c r="O33" s="43" t="str">
        <f aca="false">IF(O35=1,O31-O32,"")</f>
        <v/>
      </c>
      <c r="P33" s="42" t="n">
        <f aca="false">P31-P32</f>
        <v>383042</v>
      </c>
      <c r="Q33" s="43" t="str">
        <f aca="false">IF(Q35=1,Q31-Q32,"")</f>
        <v/>
      </c>
      <c r="R33" s="42" t="n">
        <f aca="false">R31-R32</f>
        <v>94804</v>
      </c>
      <c r="S33" s="43" t="str">
        <f aca="false">IF(S35=1,S31-S32,"")</f>
        <v/>
      </c>
      <c r="T33" s="42" t="n">
        <f aca="false">T31-T32</f>
        <v>-491546</v>
      </c>
      <c r="U33" s="43" t="str">
        <f aca="false">IF(U35=1,U31-U32,"")</f>
        <v/>
      </c>
      <c r="V33" s="42" t="n">
        <f aca="false">V31-V32</f>
        <v>-313296</v>
      </c>
      <c r="W33" s="43" t="str">
        <f aca="false">IF(W35=1,W31-W32,"")</f>
        <v/>
      </c>
      <c r="X33" s="42" t="n">
        <f aca="false">X31-X32</f>
        <v>-471716</v>
      </c>
      <c r="Y33" s="43" t="str">
        <f aca="false">IF(Y35=1,Y31-Y32,"")</f>
        <v/>
      </c>
      <c r="Z33" s="42" t="n">
        <f aca="false">Z31-Z32</f>
        <v>-275406</v>
      </c>
      <c r="AA33" s="43" t="str">
        <f aca="false">IF(AA35=1,AA31-AA32,"")</f>
        <v/>
      </c>
    </row>
    <row r="34" customFormat="false" ht="15" hidden="false" customHeight="false" outlineLevel="0" collapsed="false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</row>
    <row r="35" customFormat="false" ht="16.5" hidden="true" customHeight="true" outlineLevel="0" collapsed="false">
      <c r="A35" s="44" t="s">
        <v>52</v>
      </c>
      <c r="B35" s="44"/>
      <c r="C35" s="45" t="n">
        <f aca="false">IF(COUNT(C11:C13)+COUNT(C17:C25)&gt;0,1,0)</f>
        <v>1</v>
      </c>
      <c r="D35" s="44"/>
      <c r="E35" s="45" t="n">
        <f aca="false">IF(COUNT(E11:E13)+COUNT(E17:E25)&gt;0,1,0)</f>
        <v>0</v>
      </c>
      <c r="F35" s="44"/>
      <c r="G35" s="45" t="n">
        <f aca="false">IF(COUNT(G11:G13)+COUNT(G17:G25)&gt;0,1,0)</f>
        <v>0</v>
      </c>
      <c r="H35" s="44"/>
      <c r="I35" s="45" t="n">
        <f aca="false">IF(COUNT(I11:I13)+COUNT(I17:I25)&gt;0,1,0)</f>
        <v>0</v>
      </c>
      <c r="J35" s="44"/>
      <c r="K35" s="45" t="n">
        <f aca="false">IF(COUNT(K11:K13)+COUNT(K17:K25)&gt;0,1,0)</f>
        <v>0</v>
      </c>
      <c r="L35" s="44"/>
      <c r="M35" s="45" t="n">
        <f aca="false">IF(COUNT(M11:M13)+COUNT(M17:M25)&gt;0,1,0)</f>
        <v>0</v>
      </c>
      <c r="N35" s="44"/>
      <c r="O35" s="45" t="n">
        <f aca="false">IF(COUNT(O11:O13)+COUNT(O17:O25)&gt;0,1,0)</f>
        <v>0</v>
      </c>
      <c r="P35" s="44"/>
      <c r="Q35" s="45" t="n">
        <f aca="false">IF(COUNT(Q11:Q13)+COUNT(Q17:Q25)&gt;0,1,0)</f>
        <v>0</v>
      </c>
      <c r="R35" s="44"/>
      <c r="S35" s="45" t="n">
        <f aca="false">IF(COUNT(S11:S13)+COUNT(S17:S25)&gt;0,1,0)</f>
        <v>0</v>
      </c>
      <c r="T35" s="44"/>
      <c r="U35" s="45" t="n">
        <f aca="false">IF(COUNT(U11:U13)+COUNT(U17:U25)&gt;0,1,0)</f>
        <v>0</v>
      </c>
      <c r="V35" s="44"/>
      <c r="W35" s="45" t="n">
        <f aca="false">IF(COUNT(W11:W13)+COUNT(W17:W25)&gt;0,1,0)</f>
        <v>0</v>
      </c>
      <c r="X35" s="44"/>
      <c r="Y35" s="45" t="n">
        <f aca="false">IF(COUNT(Y11:Y13)+COUNT(Y17:Y25)&gt;0,1,0)</f>
        <v>0</v>
      </c>
      <c r="Z35" s="44"/>
      <c r="AA35" s="45" t="n">
        <f aca="false">IF(COUNT(AA11:AA13)+COUNT(AA17:AA25)&gt;0,1,0)</f>
        <v>0</v>
      </c>
    </row>
    <row r="37" customFormat="false" ht="15" hidden="false" customHeight="false" outlineLevel="0" collapsed="false">
      <c r="A37" s="46" t="s">
        <v>53</v>
      </c>
    </row>
  </sheetData>
  <mergeCells count="13"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</mergeCells>
  <conditionalFormatting sqref="B31:AA31">
    <cfRule type="expression" priority="2" aboveAverage="0" equalAverage="0" bottom="0" percent="0" rank="0" text="" dxfId="0">
      <formula>AND(ISNUMBER(B31),B31&lt;B32)</formula>
    </cfRule>
  </conditionalFormatting>
  <conditionalFormatting sqref="B33:AA33">
    <cfRule type="expression" priority="3" aboveAverage="0" equalAverage="0" bottom="0" percent="0" rank="0" text="" dxfId="1">
      <formula>AND(ISNUMBER(B33),B33&lt;0)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1"/>
    <col collapsed="false" customWidth="true" hidden="false" outlineLevel="0" max="5" min="4" style="0" width="17"/>
    <col collapsed="false" customWidth="true" hidden="false" outlineLevel="0" max="7" min="6" style="0" width="15"/>
    <col collapsed="false" customWidth="true" hidden="false" outlineLevel="0" max="8" min="8" style="0" width="19"/>
    <col collapsed="false" customWidth="true" hidden="true" outlineLevel="0" max="12" min="10" style="0" width="13"/>
  </cols>
  <sheetData>
    <row r="1" customFormat="false" ht="17.35" hidden="false" customHeight="false" outlineLevel="0" collapsed="false">
      <c r="A1" s="14" t="s">
        <v>54</v>
      </c>
    </row>
    <row r="2" customFormat="false" ht="15" hidden="false" customHeight="false" outlineLevel="0" collapsed="false">
      <c r="A2" s="2" t="s">
        <v>55</v>
      </c>
    </row>
    <row r="4" customFormat="false" ht="15" hidden="false" customHeight="false" outlineLevel="0" collapsed="false">
      <c r="A4" s="47" t="s">
        <v>56</v>
      </c>
      <c r="B4" s="47" t="s">
        <v>57</v>
      </c>
      <c r="C4" s="47" t="s">
        <v>58</v>
      </c>
      <c r="D4" s="47" t="s">
        <v>59</v>
      </c>
      <c r="E4" s="47" t="s">
        <v>60</v>
      </c>
      <c r="F4" s="47" t="s">
        <v>61</v>
      </c>
      <c r="G4" s="47" t="s">
        <v>62</v>
      </c>
      <c r="H4" s="47" t="s">
        <v>63</v>
      </c>
      <c r="J4" s="48" t="s">
        <v>60</v>
      </c>
      <c r="K4" s="48" t="s">
        <v>64</v>
      </c>
    </row>
    <row r="5" customFormat="false" ht="15" hidden="false" customHeight="false" outlineLevel="0" collapsed="false">
      <c r="A5" s="49" t="str">
        <f aca="false">'Plan de Cash'!B4</f>
        <v>Semana 42</v>
      </c>
      <c r="B5" s="50" t="n">
        <f aca="false">'Plan de Cash'!B5</f>
        <v>46307</v>
      </c>
      <c r="C5" s="50" t="n">
        <f aca="false">'Plan de Cash'!C5</f>
        <v>46313</v>
      </c>
      <c r="D5" s="51" t="n">
        <f aca="false">'Plan de Cash'!B31</f>
        <v>1031892</v>
      </c>
      <c r="E5" s="51" t="n">
        <f aca="false">IF('Plan de Cash'!C35=1,'Plan de Cash'!C31,"")</f>
        <v>1001840</v>
      </c>
      <c r="F5" s="51" t="n">
        <f aca="false">IF(E5="","",E5-D5)</f>
        <v>-30052</v>
      </c>
      <c r="G5" s="51" t="n">
        <f aca="false">Supuestos!$C$7</f>
        <v>1000000</v>
      </c>
      <c r="H5" s="49" t="str">
        <f aca="false">IF(E5&lt;&gt;"",IF(E5&lt;G5,"Bajo el colchón","En rango"),IF(D5&lt;G5,"Riesgo proyectado","En rango"))</f>
        <v>En rango</v>
      </c>
      <c r="J5" s="52" t="n">
        <f aca="false">IF(E5="",NA(),E5)</f>
        <v>1001840</v>
      </c>
      <c r="K5" s="48" t="e">
        <f aca="false">IF(D5&lt;G5,D5,NA())</f>
        <v>#N/A</v>
      </c>
      <c r="L5" s="0" t="str">
        <f aca="false">DAY(B5)&amp;" "&amp;CHOOSE(MONTH(B5),"ene","feb","mar","abr","may","jun","jul","ago","sep","oct","nov","dic")</f>
        <v>12 oct</v>
      </c>
    </row>
    <row r="6" customFormat="false" ht="15" hidden="false" customHeight="false" outlineLevel="0" collapsed="false">
      <c r="A6" s="49" t="str">
        <f aca="false">'Plan de Cash'!D4</f>
        <v>Semana 43</v>
      </c>
      <c r="B6" s="50" t="n">
        <f aca="false">'Plan de Cash'!D5</f>
        <v>46314</v>
      </c>
      <c r="C6" s="50" t="n">
        <f aca="false">'Plan de Cash'!E5</f>
        <v>46320</v>
      </c>
      <c r="D6" s="51" t="n">
        <f aca="false">'Plan de Cash'!D31</f>
        <v>1223020</v>
      </c>
      <c r="E6" s="51" t="str">
        <f aca="false">IF('Plan de Cash'!E35=1,'Plan de Cash'!E31,"")</f>
        <v/>
      </c>
      <c r="F6" s="51" t="str">
        <f aca="false">IF(E6="","",E6-D6)</f>
        <v/>
      </c>
      <c r="G6" s="51" t="n">
        <f aca="false">Supuestos!$C$7</f>
        <v>1000000</v>
      </c>
      <c r="H6" s="49" t="str">
        <f aca="false">IF(E6&lt;&gt;"",IF(E6&lt;G6,"Bajo el colchón","En rango"),IF(D6&lt;G6,"Riesgo proyectado","En rango"))</f>
        <v>En rango</v>
      </c>
      <c r="J6" s="48" t="e">
        <f aca="false">IF(E6="",NA(),E6)</f>
        <v>#N/A</v>
      </c>
      <c r="K6" s="48" t="e">
        <f aca="false">IF(D6&lt;G6,D6,NA())</f>
        <v>#N/A</v>
      </c>
      <c r="L6" s="0" t="str">
        <f aca="false">DAY(B6)&amp;" "&amp;CHOOSE(MONTH(B6),"ene","feb","mar","abr","may","jun","jul","ago","sep","oct","nov","dic")</f>
        <v>19 oct</v>
      </c>
    </row>
    <row r="7" customFormat="false" ht="15" hidden="false" customHeight="false" outlineLevel="0" collapsed="false">
      <c r="A7" s="49" t="str">
        <f aca="false">'Plan de Cash'!F4</f>
        <v>Semana 44</v>
      </c>
      <c r="B7" s="50" t="n">
        <f aca="false">'Plan de Cash'!F5</f>
        <v>46321</v>
      </c>
      <c r="C7" s="50" t="n">
        <f aca="false">'Plan de Cash'!G5</f>
        <v>46327</v>
      </c>
      <c r="D7" s="51" t="n">
        <f aca="false">'Plan de Cash'!F31</f>
        <v>1126770</v>
      </c>
      <c r="E7" s="51" t="str">
        <f aca="false">IF('Plan de Cash'!G35=1,'Plan de Cash'!G31,"")</f>
        <v/>
      </c>
      <c r="F7" s="51" t="str">
        <f aca="false">IF(E7="","",E7-D7)</f>
        <v/>
      </c>
      <c r="G7" s="51" t="n">
        <f aca="false">Supuestos!$C$7</f>
        <v>1000000</v>
      </c>
      <c r="H7" s="49" t="str">
        <f aca="false">IF(E7&lt;&gt;"",IF(E7&lt;G7,"Bajo el colchón","En rango"),IF(D7&lt;G7,"Riesgo proyectado","En rango"))</f>
        <v>En rango</v>
      </c>
      <c r="J7" s="48" t="e">
        <f aca="false">IF(E7="",NA(),E7)</f>
        <v>#N/A</v>
      </c>
      <c r="K7" s="48" t="e">
        <f aca="false">IF(D7&lt;G7,D7,NA())</f>
        <v>#N/A</v>
      </c>
      <c r="L7" s="0" t="str">
        <f aca="false">DAY(B7)&amp;" "&amp;CHOOSE(MONTH(B7),"ene","feb","mar","abr","may","jun","jul","ago","sep","oct","nov","dic")</f>
        <v>26 oct</v>
      </c>
    </row>
    <row r="8" customFormat="false" ht="15" hidden="false" customHeight="false" outlineLevel="0" collapsed="false">
      <c r="A8" s="49" t="str">
        <f aca="false">'Plan de Cash'!H4</f>
        <v>Semana 45</v>
      </c>
      <c r="B8" s="50" t="n">
        <f aca="false">'Plan de Cash'!H5</f>
        <v>46328</v>
      </c>
      <c r="C8" s="50" t="n">
        <f aca="false">'Plan de Cash'!I5</f>
        <v>46334</v>
      </c>
      <c r="D8" s="51" t="n">
        <f aca="false">'Plan de Cash'!H31</f>
        <v>1329340</v>
      </c>
      <c r="E8" s="51" t="str">
        <f aca="false">IF('Plan de Cash'!I35=1,'Plan de Cash'!I31,"")</f>
        <v/>
      </c>
      <c r="F8" s="51" t="str">
        <f aca="false">IF(E8="","",E8-D8)</f>
        <v/>
      </c>
      <c r="G8" s="51" t="n">
        <f aca="false">Supuestos!$C$7</f>
        <v>1000000</v>
      </c>
      <c r="H8" s="49" t="str">
        <f aca="false">IF(E8&lt;&gt;"",IF(E8&lt;G8,"Bajo el colchón","En rango"),IF(D8&lt;G8,"Riesgo proyectado","En rango"))</f>
        <v>En rango</v>
      </c>
      <c r="J8" s="48" t="e">
        <f aca="false">IF(E8="",NA(),E8)</f>
        <v>#N/A</v>
      </c>
      <c r="K8" s="48" t="e">
        <f aca="false">IF(D8&lt;G8,D8,NA())</f>
        <v>#N/A</v>
      </c>
      <c r="L8" s="0" t="str">
        <f aca="false">DAY(B8)&amp;" "&amp;CHOOSE(MONTH(B8),"ene","feb","mar","abr","may","jun","jul","ago","sep","oct","nov","dic")</f>
        <v>2 nov</v>
      </c>
    </row>
    <row r="9" customFormat="false" ht="15" hidden="false" customHeight="false" outlineLevel="0" collapsed="false">
      <c r="A9" s="49" t="str">
        <f aca="false">'Plan de Cash'!J4</f>
        <v>Semana 46</v>
      </c>
      <c r="B9" s="50" t="n">
        <f aca="false">'Plan de Cash'!J5</f>
        <v>46335</v>
      </c>
      <c r="C9" s="50" t="n">
        <f aca="false">'Plan de Cash'!K5</f>
        <v>46341</v>
      </c>
      <c r="D9" s="51" t="n">
        <f aca="false">'Plan de Cash'!J31</f>
        <v>1329302</v>
      </c>
      <c r="E9" s="51" t="str">
        <f aca="false">IF('Plan de Cash'!K35=1,'Plan de Cash'!K31,"")</f>
        <v/>
      </c>
      <c r="F9" s="51" t="str">
        <f aca="false">IF(E9="","",E9-D9)</f>
        <v/>
      </c>
      <c r="G9" s="51" t="n">
        <f aca="false">Supuestos!$C$7</f>
        <v>1000000</v>
      </c>
      <c r="H9" s="49" t="str">
        <f aca="false">IF(E9&lt;&gt;"",IF(E9&lt;G9,"Bajo el colchón","En rango"),IF(D9&lt;G9,"Riesgo proyectado","En rango"))</f>
        <v>En rango</v>
      </c>
      <c r="J9" s="48" t="e">
        <f aca="false">IF(E9="",NA(),E9)</f>
        <v>#N/A</v>
      </c>
      <c r="K9" s="48" t="e">
        <f aca="false">IF(D9&lt;G9,D9,NA())</f>
        <v>#N/A</v>
      </c>
      <c r="L9" s="0" t="str">
        <f aca="false">DAY(B9)&amp;" "&amp;CHOOSE(MONTH(B9),"ene","feb","mar","abr","may","jun","jul","ago","sep","oct","nov","dic")</f>
        <v>9 nov</v>
      </c>
    </row>
    <row r="10" customFormat="false" ht="15" hidden="false" customHeight="false" outlineLevel="0" collapsed="false">
      <c r="A10" s="49" t="str">
        <f aca="false">'Plan de Cash'!L4</f>
        <v>Semana 47</v>
      </c>
      <c r="B10" s="50" t="n">
        <f aca="false">'Plan de Cash'!L5</f>
        <v>46342</v>
      </c>
      <c r="C10" s="50" t="n">
        <f aca="false">'Plan de Cash'!M5</f>
        <v>46348</v>
      </c>
      <c r="D10" s="51" t="n">
        <f aca="false">'Plan de Cash'!L31</f>
        <v>1314202</v>
      </c>
      <c r="E10" s="51" t="str">
        <f aca="false">IF('Plan de Cash'!M35=1,'Plan de Cash'!M31,"")</f>
        <v/>
      </c>
      <c r="F10" s="51" t="str">
        <f aca="false">IF(E10="","",E10-D10)</f>
        <v/>
      </c>
      <c r="G10" s="51" t="n">
        <f aca="false">Supuestos!$C$7</f>
        <v>1000000</v>
      </c>
      <c r="H10" s="49" t="str">
        <f aca="false">IF(E10&lt;&gt;"",IF(E10&lt;G10,"Bajo el colchón","En rango"),IF(D10&lt;G10,"Riesgo proyectado","En rango"))</f>
        <v>En rango</v>
      </c>
      <c r="J10" s="48" t="e">
        <f aca="false">IF(E10="",NA(),E10)</f>
        <v>#N/A</v>
      </c>
      <c r="K10" s="48" t="e">
        <f aca="false">IF(D10&lt;G10,D10,NA())</f>
        <v>#N/A</v>
      </c>
      <c r="L10" s="0" t="str">
        <f aca="false">DAY(B10)&amp;" "&amp;CHOOSE(MONTH(B10),"ene","feb","mar","abr","may","jun","jul","ago","sep","oct","nov","dic")</f>
        <v>16 nov</v>
      </c>
    </row>
    <row r="11" customFormat="false" ht="15" hidden="false" customHeight="false" outlineLevel="0" collapsed="false">
      <c r="A11" s="49" t="str">
        <f aca="false">'Plan de Cash'!N4</f>
        <v>Semana 48</v>
      </c>
      <c r="B11" s="50" t="n">
        <f aca="false">'Plan de Cash'!N5</f>
        <v>46349</v>
      </c>
      <c r="C11" s="50" t="n">
        <f aca="false">'Plan de Cash'!O5</f>
        <v>46355</v>
      </c>
      <c r="D11" s="51" t="n">
        <f aca="false">'Plan de Cash'!N31</f>
        <v>1547772</v>
      </c>
      <c r="E11" s="51" t="str">
        <f aca="false">IF('Plan de Cash'!O35=1,'Plan de Cash'!O31,"")</f>
        <v/>
      </c>
      <c r="F11" s="51" t="str">
        <f aca="false">IF(E11="","",E11-D11)</f>
        <v/>
      </c>
      <c r="G11" s="51" t="n">
        <f aca="false">Supuestos!$C$7</f>
        <v>1000000</v>
      </c>
      <c r="H11" s="49" t="str">
        <f aca="false">IF(E11&lt;&gt;"",IF(E11&lt;G11,"Bajo el colchón","En rango"),IF(D11&lt;G11,"Riesgo proyectado","En rango"))</f>
        <v>En rango</v>
      </c>
      <c r="J11" s="48" t="e">
        <f aca="false">IF(E11="",NA(),E11)</f>
        <v>#N/A</v>
      </c>
      <c r="K11" s="48" t="e">
        <f aca="false">IF(D11&lt;G11,D11,NA())</f>
        <v>#N/A</v>
      </c>
      <c r="L11" s="0" t="str">
        <f aca="false">DAY(B11)&amp;" "&amp;CHOOSE(MONTH(B11),"ene","feb","mar","abr","may","jun","jul","ago","sep","oct","nov","dic")</f>
        <v>23 nov</v>
      </c>
    </row>
    <row r="12" customFormat="false" ht="15" hidden="false" customHeight="false" outlineLevel="0" collapsed="false">
      <c r="A12" s="49" t="str">
        <f aca="false">'Plan de Cash'!P4</f>
        <v>Semana 49</v>
      </c>
      <c r="B12" s="50" t="n">
        <f aca="false">'Plan de Cash'!P5</f>
        <v>46356</v>
      </c>
      <c r="C12" s="50" t="n">
        <f aca="false">'Plan de Cash'!Q5</f>
        <v>46362</v>
      </c>
      <c r="D12" s="51" t="n">
        <f aca="false">'Plan de Cash'!P31</f>
        <v>1383042</v>
      </c>
      <c r="E12" s="51" t="str">
        <f aca="false">IF('Plan de Cash'!Q35=1,'Plan de Cash'!Q31,"")</f>
        <v/>
      </c>
      <c r="F12" s="51" t="str">
        <f aca="false">IF(E12="","",E12-D12)</f>
        <v/>
      </c>
      <c r="G12" s="51" t="n">
        <f aca="false">Supuestos!$C$7</f>
        <v>1000000</v>
      </c>
      <c r="H12" s="49" t="str">
        <f aca="false">IF(E12&lt;&gt;"",IF(E12&lt;G12,"Bajo el colchón","En rango"),IF(D12&lt;G12,"Riesgo proyectado","En rango"))</f>
        <v>En rango</v>
      </c>
      <c r="J12" s="48" t="e">
        <f aca="false">IF(E12="",NA(),E12)</f>
        <v>#N/A</v>
      </c>
      <c r="K12" s="48" t="e">
        <f aca="false">IF(D12&lt;G12,D12,NA())</f>
        <v>#N/A</v>
      </c>
      <c r="L12" s="0" t="str">
        <f aca="false">DAY(B12)&amp;" "&amp;CHOOSE(MONTH(B12),"ene","feb","mar","abr","may","jun","jul","ago","sep","oct","nov","dic")</f>
        <v>30 nov</v>
      </c>
    </row>
    <row r="13" customFormat="false" ht="15" hidden="false" customHeight="false" outlineLevel="0" collapsed="false">
      <c r="A13" s="49" t="str">
        <f aca="false">'Plan de Cash'!R4</f>
        <v>Semana 50</v>
      </c>
      <c r="B13" s="50" t="n">
        <f aca="false">'Plan de Cash'!R5</f>
        <v>46363</v>
      </c>
      <c r="C13" s="50" t="n">
        <f aca="false">'Plan de Cash'!S5</f>
        <v>46369</v>
      </c>
      <c r="D13" s="51" t="n">
        <f aca="false">'Plan de Cash'!R31</f>
        <v>1094804</v>
      </c>
      <c r="E13" s="51" t="str">
        <f aca="false">IF('Plan de Cash'!S35=1,'Plan de Cash'!S31,"")</f>
        <v/>
      </c>
      <c r="F13" s="51" t="str">
        <f aca="false">IF(E13="","",E13-D13)</f>
        <v/>
      </c>
      <c r="G13" s="51" t="n">
        <f aca="false">Supuestos!$C$7</f>
        <v>1000000</v>
      </c>
      <c r="H13" s="49" t="str">
        <f aca="false">IF(E13&lt;&gt;"",IF(E13&lt;G13,"Bajo el colchón","En rango"),IF(D13&lt;G13,"Riesgo proyectado","En rango"))</f>
        <v>En rango</v>
      </c>
      <c r="J13" s="48" t="e">
        <f aca="false">IF(E13="",NA(),E13)</f>
        <v>#N/A</v>
      </c>
      <c r="K13" s="48" t="e">
        <f aca="false">IF(D13&lt;G13,D13,NA())</f>
        <v>#N/A</v>
      </c>
      <c r="L13" s="0" t="str">
        <f aca="false">DAY(B13)&amp;" "&amp;CHOOSE(MONTH(B13),"ene","feb","mar","abr","may","jun","jul","ago","sep","oct","nov","dic")</f>
        <v>7 dic</v>
      </c>
    </row>
    <row r="14" customFormat="false" ht="15" hidden="false" customHeight="false" outlineLevel="0" collapsed="false">
      <c r="A14" s="49" t="str">
        <f aca="false">'Plan de Cash'!T4</f>
        <v>Semana 51</v>
      </c>
      <c r="B14" s="50" t="n">
        <f aca="false">'Plan de Cash'!T5</f>
        <v>46370</v>
      </c>
      <c r="C14" s="50" t="n">
        <f aca="false">'Plan de Cash'!U5</f>
        <v>46376</v>
      </c>
      <c r="D14" s="51" t="n">
        <f aca="false">'Plan de Cash'!T31</f>
        <v>508454</v>
      </c>
      <c r="E14" s="51" t="str">
        <f aca="false">IF('Plan de Cash'!U35=1,'Plan de Cash'!U31,"")</f>
        <v/>
      </c>
      <c r="F14" s="51" t="str">
        <f aca="false">IF(E14="","",E14-D14)</f>
        <v/>
      </c>
      <c r="G14" s="51" t="n">
        <f aca="false">Supuestos!$C$7</f>
        <v>1000000</v>
      </c>
      <c r="H14" s="49" t="str">
        <f aca="false">IF(E14&lt;&gt;"",IF(E14&lt;G14,"Bajo el colchón","En rango"),IF(D14&lt;G14,"Riesgo proyectado","En rango"))</f>
        <v>Riesgo proyectado</v>
      </c>
      <c r="J14" s="48" t="e">
        <f aca="false">IF(E14="",NA(),E14)</f>
        <v>#N/A</v>
      </c>
      <c r="K14" s="52" t="n">
        <f aca="false">IF(D14&lt;G14,D14,NA())</f>
        <v>508454</v>
      </c>
      <c r="L14" s="0" t="str">
        <f aca="false">DAY(B14)&amp;" "&amp;CHOOSE(MONTH(B14),"ene","feb","mar","abr","may","jun","jul","ago","sep","oct","nov","dic")</f>
        <v>14 dic</v>
      </c>
    </row>
    <row r="15" customFormat="false" ht="15" hidden="false" customHeight="false" outlineLevel="0" collapsed="false">
      <c r="A15" s="49" t="str">
        <f aca="false">'Plan de Cash'!V4</f>
        <v>Semana 52</v>
      </c>
      <c r="B15" s="50" t="n">
        <f aca="false">'Plan de Cash'!V5</f>
        <v>46377</v>
      </c>
      <c r="C15" s="50" t="n">
        <f aca="false">'Plan de Cash'!W5</f>
        <v>46383</v>
      </c>
      <c r="D15" s="51" t="n">
        <f aca="false">'Plan de Cash'!V31</f>
        <v>686704</v>
      </c>
      <c r="E15" s="51" t="str">
        <f aca="false">IF('Plan de Cash'!W35=1,'Plan de Cash'!W31,"")</f>
        <v/>
      </c>
      <c r="F15" s="51" t="str">
        <f aca="false">IF(E15="","",E15-D15)</f>
        <v/>
      </c>
      <c r="G15" s="51" t="n">
        <f aca="false">Supuestos!$C$7</f>
        <v>1000000</v>
      </c>
      <c r="H15" s="49" t="str">
        <f aca="false">IF(E15&lt;&gt;"",IF(E15&lt;G15,"Bajo el colchón","En rango"),IF(D15&lt;G15,"Riesgo proyectado","En rango"))</f>
        <v>Riesgo proyectado</v>
      </c>
      <c r="J15" s="48" t="e">
        <f aca="false">IF(E15="",NA(),E15)</f>
        <v>#N/A</v>
      </c>
      <c r="K15" s="52" t="n">
        <f aca="false">IF(D15&lt;G15,D15,NA())</f>
        <v>686704</v>
      </c>
      <c r="L15" s="0" t="str">
        <f aca="false">DAY(B15)&amp;" "&amp;CHOOSE(MONTH(B15),"ene","feb","mar","abr","may","jun","jul","ago","sep","oct","nov","dic")</f>
        <v>21 dic</v>
      </c>
    </row>
    <row r="16" customFormat="false" ht="15" hidden="false" customHeight="false" outlineLevel="0" collapsed="false">
      <c r="A16" s="49" t="str">
        <f aca="false">'Plan de Cash'!X4</f>
        <v>Semana 53</v>
      </c>
      <c r="B16" s="50" t="n">
        <f aca="false">'Plan de Cash'!X5</f>
        <v>46384</v>
      </c>
      <c r="C16" s="50" t="n">
        <f aca="false">'Plan de Cash'!Y5</f>
        <v>46390</v>
      </c>
      <c r="D16" s="51" t="n">
        <f aca="false">'Plan de Cash'!X31</f>
        <v>528284</v>
      </c>
      <c r="E16" s="51" t="str">
        <f aca="false">IF('Plan de Cash'!Y35=1,'Plan de Cash'!Y31,"")</f>
        <v/>
      </c>
      <c r="F16" s="51" t="str">
        <f aca="false">IF(E16="","",E16-D16)</f>
        <v/>
      </c>
      <c r="G16" s="51" t="n">
        <f aca="false">Supuestos!$C$7</f>
        <v>1000000</v>
      </c>
      <c r="H16" s="49" t="str">
        <f aca="false">IF(E16&lt;&gt;"",IF(E16&lt;G16,"Bajo el colchón","En rango"),IF(D16&lt;G16,"Riesgo proyectado","En rango"))</f>
        <v>Riesgo proyectado</v>
      </c>
      <c r="J16" s="48" t="e">
        <f aca="false">IF(E16="",NA(),E16)</f>
        <v>#N/A</v>
      </c>
      <c r="K16" s="52" t="n">
        <f aca="false">IF(D16&lt;G16,D16,NA())</f>
        <v>528284</v>
      </c>
      <c r="L16" s="0" t="str">
        <f aca="false">DAY(B16)&amp;" "&amp;CHOOSE(MONTH(B16),"ene","feb","mar","abr","may","jun","jul","ago","sep","oct","nov","dic")</f>
        <v>28 dic</v>
      </c>
    </row>
    <row r="17" customFormat="false" ht="15" hidden="false" customHeight="false" outlineLevel="0" collapsed="false">
      <c r="A17" s="49" t="str">
        <f aca="false">'Plan de Cash'!Z4</f>
        <v>Semana 1</v>
      </c>
      <c r="B17" s="50" t="n">
        <f aca="false">'Plan de Cash'!Z5</f>
        <v>46391</v>
      </c>
      <c r="C17" s="50" t="n">
        <f aca="false">'Plan de Cash'!AA5</f>
        <v>46397</v>
      </c>
      <c r="D17" s="51" t="n">
        <f aca="false">'Plan de Cash'!Z31</f>
        <v>724594</v>
      </c>
      <c r="E17" s="51" t="str">
        <f aca="false">IF('Plan de Cash'!AA35=1,'Plan de Cash'!AA31,"")</f>
        <v/>
      </c>
      <c r="F17" s="51" t="str">
        <f aca="false">IF(E17="","",E17-D17)</f>
        <v/>
      </c>
      <c r="G17" s="51" t="n">
        <f aca="false">Supuestos!$C$7</f>
        <v>1000000</v>
      </c>
      <c r="H17" s="49" t="str">
        <f aca="false">IF(E17&lt;&gt;"",IF(E17&lt;G17,"Bajo el colchón","En rango"),IF(D17&lt;G17,"Riesgo proyectado","En rango"))</f>
        <v>Riesgo proyectado</v>
      </c>
      <c r="J17" s="48" t="e">
        <f aca="false">IF(E17="",NA(),E17)</f>
        <v>#N/A</v>
      </c>
      <c r="K17" s="52" t="n">
        <f aca="false">IF(D17&lt;G17,D17,NA())</f>
        <v>724594</v>
      </c>
      <c r="L17" s="0" t="str">
        <f aca="false">DAY(B17)&amp;" "&amp;CHOOSE(MONTH(B17),"ene","feb","mar","abr","may","jun","jul","ago","sep","oct","nov","dic")</f>
        <v>4 ene</v>
      </c>
    </row>
    <row r="19" customFormat="false" ht="15" hidden="false" customHeight="false" outlineLevel="0" collapsed="false">
      <c r="A19" s="53" t="s">
        <v>65</v>
      </c>
    </row>
    <row r="20" customFormat="false" ht="15" hidden="false" customHeight="false" outlineLevel="0" collapsed="false">
      <c r="A20" s="54" t="s">
        <v>66</v>
      </c>
    </row>
  </sheetData>
  <conditionalFormatting sqref="H5:H17">
    <cfRule type="expression" priority="2" aboveAverage="0" equalAverage="0" bottom="0" percent="0" rank="0" text="" dxfId="0">
      <formula>H5="Bajo el colchón"</formula>
    </cfRule>
    <cfRule type="expression" priority="3" aboveAverage="0" equalAverage="0" bottom="0" percent="0" rank="0" text="" dxfId="2">
      <formula>H5="Riesgo proyectado"</formula>
    </cfRule>
    <cfRule type="expression" priority="4" aboveAverage="0" equalAverage="0" bottom="0" percent="0" rank="0" text="" dxfId="3">
      <formula>H5="En rango"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67</v>
      </c>
    </row>
    <row r="2" customFormat="false" ht="15" hidden="false" customHeight="false" outlineLevel="0" collapsed="false">
      <c r="A2" s="0" t="s">
        <v>68</v>
      </c>
      <c r="B2" s="55" t="n">
        <f aca="false">Supuestos!$C$9+7*0</f>
        <v>46307</v>
      </c>
      <c r="C2" s="55" t="n">
        <f aca="false">Supuestos!$C$9+7*1</f>
        <v>46314</v>
      </c>
      <c r="D2" s="55" t="n">
        <f aca="false">Supuestos!$C$9+7*2</f>
        <v>46321</v>
      </c>
      <c r="E2" s="55" t="n">
        <f aca="false">Supuestos!$C$9+7*3</f>
        <v>46328</v>
      </c>
      <c r="F2" s="55" t="n">
        <f aca="false">Supuestos!$C$9+7*4</f>
        <v>46335</v>
      </c>
      <c r="G2" s="55" t="n">
        <f aca="false">Supuestos!$C$9+7*5</f>
        <v>46342</v>
      </c>
      <c r="H2" s="55" t="n">
        <f aca="false">Supuestos!$C$9+7*6</f>
        <v>46349</v>
      </c>
      <c r="I2" s="55" t="n">
        <f aca="false">Supuestos!$C$9+7*7</f>
        <v>46356</v>
      </c>
      <c r="J2" s="55" t="n">
        <f aca="false">Supuestos!$C$9+7*8</f>
        <v>46363</v>
      </c>
      <c r="K2" s="55" t="n">
        <f aca="false">Supuestos!$C$9+7*9</f>
        <v>46370</v>
      </c>
      <c r="L2" s="55" t="n">
        <f aca="false">Supuestos!$C$9+7*10</f>
        <v>46377</v>
      </c>
      <c r="M2" s="55" t="n">
        <f aca="false">Supuestos!$C$9+7*11</f>
        <v>46384</v>
      </c>
      <c r="N2" s="55" t="n">
        <f aca="false">Supuestos!$C$9+7*12</f>
        <v>46391</v>
      </c>
    </row>
    <row r="3" customFormat="false" ht="15" hidden="false" customHeight="false" outlineLevel="0" collapsed="false">
      <c r="A3" s="0" t="s">
        <v>69</v>
      </c>
      <c r="B3" s="55" t="n">
        <f aca="false">B2+6</f>
        <v>46313</v>
      </c>
      <c r="C3" s="55" t="n">
        <f aca="false">C2+6</f>
        <v>46320</v>
      </c>
      <c r="D3" s="55" t="n">
        <f aca="false">D2+6</f>
        <v>46327</v>
      </c>
      <c r="E3" s="55" t="n">
        <f aca="false">E2+6</f>
        <v>46334</v>
      </c>
      <c r="F3" s="55" t="n">
        <f aca="false">F2+6</f>
        <v>46341</v>
      </c>
      <c r="G3" s="55" t="n">
        <f aca="false">G2+6</f>
        <v>46348</v>
      </c>
      <c r="H3" s="55" t="n">
        <f aca="false">H2+6</f>
        <v>46355</v>
      </c>
      <c r="I3" s="55" t="n">
        <f aca="false">I2+6</f>
        <v>46362</v>
      </c>
      <c r="J3" s="55" t="n">
        <f aca="false">J2+6</f>
        <v>46369</v>
      </c>
      <c r="K3" s="55" t="n">
        <f aca="false">K2+6</f>
        <v>46376</v>
      </c>
      <c r="L3" s="55" t="n">
        <f aca="false">L2+6</f>
        <v>46383</v>
      </c>
      <c r="M3" s="55" t="n">
        <f aca="false">M2+6</f>
        <v>46390</v>
      </c>
      <c r="N3" s="55" t="n">
        <f aca="false">N2+6</f>
        <v>46397</v>
      </c>
    </row>
    <row r="4" customFormat="false" ht="15" hidden="false" customHeight="false" outlineLevel="0" collapsed="false">
      <c r="A4" s="0" t="s">
        <v>70</v>
      </c>
      <c r="B4" s="56" t="b">
        <f aca="false">OR(AND(MONTH(B2)=MONTH(B3),DAY(B2)&lt;=15,DAY(B3)&gt;=15),AND(MONTH(B2)&lt;&gt;MONTH(B3),OR(DAY(B2)&lt;=15,DAY(B3)&gt;=15)))</f>
        <v>1</v>
      </c>
      <c r="C4" s="56" t="b">
        <f aca="false">OR(AND(MONTH(C2)=MONTH(C3),DAY(C2)&lt;=15,DAY(C3)&gt;=15),AND(MONTH(C2)&lt;&gt;MONTH(C3),OR(DAY(C2)&lt;=15,DAY(C3)&gt;=15)))</f>
        <v>0</v>
      </c>
      <c r="D4" s="56" t="b">
        <f aca="false">OR(AND(MONTH(D2)=MONTH(D3),DAY(D2)&lt;=15,DAY(D3)&gt;=15),AND(MONTH(D2)&lt;&gt;MONTH(D3),OR(DAY(D2)&lt;=15,DAY(D3)&gt;=15)))</f>
        <v>0</v>
      </c>
      <c r="E4" s="56" t="b">
        <f aca="false">OR(AND(MONTH(E2)=MONTH(E3),DAY(E2)&lt;=15,DAY(E3)&gt;=15),AND(MONTH(E2)&lt;&gt;MONTH(E3),OR(DAY(E2)&lt;=15,DAY(E3)&gt;=15)))</f>
        <v>0</v>
      </c>
      <c r="F4" s="56" t="b">
        <f aca="false">OR(AND(MONTH(F2)=MONTH(F3),DAY(F2)&lt;=15,DAY(F3)&gt;=15),AND(MONTH(F2)&lt;&gt;MONTH(F3),OR(DAY(F2)&lt;=15,DAY(F3)&gt;=15)))</f>
        <v>1</v>
      </c>
      <c r="G4" s="56" t="b">
        <f aca="false">OR(AND(MONTH(G2)=MONTH(G3),DAY(G2)&lt;=15,DAY(G3)&gt;=15),AND(MONTH(G2)&lt;&gt;MONTH(G3),OR(DAY(G2)&lt;=15,DAY(G3)&gt;=15)))</f>
        <v>0</v>
      </c>
      <c r="H4" s="56" t="b">
        <f aca="false">OR(AND(MONTH(H2)=MONTH(H3),DAY(H2)&lt;=15,DAY(H3)&gt;=15),AND(MONTH(H2)&lt;&gt;MONTH(H3),OR(DAY(H2)&lt;=15,DAY(H3)&gt;=15)))</f>
        <v>0</v>
      </c>
      <c r="I4" s="56" t="b">
        <f aca="false">OR(AND(MONTH(I2)=MONTH(I3),DAY(I2)&lt;=15,DAY(I3)&gt;=15),AND(MONTH(I2)&lt;&gt;MONTH(I3),OR(DAY(I2)&lt;=15,DAY(I3)&gt;=15)))</f>
        <v>0</v>
      </c>
      <c r="J4" s="56" t="b">
        <f aca="false">OR(AND(MONTH(J2)=MONTH(J3),DAY(J2)&lt;=15,DAY(J3)&gt;=15),AND(MONTH(J2)&lt;&gt;MONTH(J3),OR(DAY(J2)&lt;=15,DAY(J3)&gt;=15)))</f>
        <v>0</v>
      </c>
      <c r="K4" s="56" t="b">
        <f aca="false">OR(AND(MONTH(K2)=MONTH(K3),DAY(K2)&lt;=15,DAY(K3)&gt;=15),AND(MONTH(K2)&lt;&gt;MONTH(K3),OR(DAY(K2)&lt;=15,DAY(K3)&gt;=15)))</f>
        <v>1</v>
      </c>
      <c r="L4" s="56" t="b">
        <f aca="false">OR(AND(MONTH(L2)=MONTH(L3),DAY(L2)&lt;=15,DAY(L3)&gt;=15),AND(MONTH(L2)&lt;&gt;MONTH(L3),OR(DAY(L2)&lt;=15,DAY(L3)&gt;=15)))</f>
        <v>0</v>
      </c>
      <c r="M4" s="56" t="b">
        <f aca="false">OR(AND(MONTH(M2)=MONTH(M3),DAY(M2)&lt;=15,DAY(M3)&gt;=15),AND(MONTH(M2)&lt;&gt;MONTH(M3),OR(DAY(M2)&lt;=15,DAY(M3)&gt;=15)))</f>
        <v>0</v>
      </c>
      <c r="N4" s="56" t="b">
        <f aca="false">OR(AND(MONTH(N2)=MONTH(N3),DAY(N2)&lt;=15,DAY(N3)&gt;=15),AND(MONTH(N2)&lt;&gt;MONTH(N3),OR(DAY(N2)&lt;=15,DAY(N3)&gt;=15)))</f>
        <v>0</v>
      </c>
    </row>
    <row r="5" customFormat="false" ht="15" hidden="false" customHeight="false" outlineLevel="0" collapsed="false">
      <c r="A5" s="0" t="s">
        <v>71</v>
      </c>
      <c r="B5" s="56" t="b">
        <f aca="false">OR(MONTH(B2)&lt;&gt;MONTH(B3),MONTH(B3+1)&lt;&gt;MONTH(B3))</f>
        <v>0</v>
      </c>
      <c r="C5" s="56" t="b">
        <f aca="false">OR(MONTH(C2)&lt;&gt;MONTH(C3),MONTH(C3+1)&lt;&gt;MONTH(C3))</f>
        <v>0</v>
      </c>
      <c r="D5" s="56" t="b">
        <f aca="false">OR(MONTH(D2)&lt;&gt;MONTH(D3),MONTH(D3+1)&lt;&gt;MONTH(D3))</f>
        <v>1</v>
      </c>
      <c r="E5" s="56" t="b">
        <f aca="false">OR(MONTH(E2)&lt;&gt;MONTH(E3),MONTH(E3+1)&lt;&gt;MONTH(E3))</f>
        <v>0</v>
      </c>
      <c r="F5" s="56" t="b">
        <f aca="false">OR(MONTH(F2)&lt;&gt;MONTH(F3),MONTH(F3+1)&lt;&gt;MONTH(F3))</f>
        <v>0</v>
      </c>
      <c r="G5" s="56" t="b">
        <f aca="false">OR(MONTH(G2)&lt;&gt;MONTH(G3),MONTH(G3+1)&lt;&gt;MONTH(G3))</f>
        <v>0</v>
      </c>
      <c r="H5" s="56" t="b">
        <f aca="false">OR(MONTH(H2)&lt;&gt;MONTH(H3),MONTH(H3+1)&lt;&gt;MONTH(H3))</f>
        <v>0</v>
      </c>
      <c r="I5" s="56" t="b">
        <f aca="false">OR(MONTH(I2)&lt;&gt;MONTH(I3),MONTH(I3+1)&lt;&gt;MONTH(I3))</f>
        <v>1</v>
      </c>
      <c r="J5" s="56" t="b">
        <f aca="false">OR(MONTH(J2)&lt;&gt;MONTH(J3),MONTH(J3+1)&lt;&gt;MONTH(J3))</f>
        <v>0</v>
      </c>
      <c r="K5" s="56" t="b">
        <f aca="false">OR(MONTH(K2)&lt;&gt;MONTH(K3),MONTH(K3+1)&lt;&gt;MONTH(K3))</f>
        <v>0</v>
      </c>
      <c r="L5" s="56" t="b">
        <f aca="false">OR(MONTH(L2)&lt;&gt;MONTH(L3),MONTH(L3+1)&lt;&gt;MONTH(L3))</f>
        <v>0</v>
      </c>
      <c r="M5" s="56" t="b">
        <f aca="false">OR(MONTH(M2)&lt;&gt;MONTH(M3),MONTH(M3+1)&lt;&gt;MONTH(M3))</f>
        <v>1</v>
      </c>
      <c r="N5" s="56" t="b">
        <f aca="false">OR(MONTH(N2)&lt;&gt;MONTH(N3),MONTH(N3+1)&lt;&gt;MONTH(N3))</f>
        <v>0</v>
      </c>
    </row>
    <row r="6" customFormat="false" ht="15" hidden="false" customHeight="false" outlineLevel="0" collapsed="false">
      <c r="A6" s="0" t="s">
        <v>72</v>
      </c>
      <c r="B6" s="56" t="b">
        <f aca="false">OR(MONTH(B2)&lt;&gt;MONTH(B3),DAY(B2)=1)</f>
        <v>0</v>
      </c>
      <c r="C6" s="56" t="b">
        <f aca="false">OR(MONTH(C2)&lt;&gt;MONTH(C3),DAY(C2)=1)</f>
        <v>0</v>
      </c>
      <c r="D6" s="56" t="b">
        <f aca="false">OR(MONTH(D2)&lt;&gt;MONTH(D3),DAY(D2)=1)</f>
        <v>1</v>
      </c>
      <c r="E6" s="56" t="b">
        <f aca="false">OR(MONTH(E2)&lt;&gt;MONTH(E3),DAY(E2)=1)</f>
        <v>0</v>
      </c>
      <c r="F6" s="56" t="b">
        <f aca="false">OR(MONTH(F2)&lt;&gt;MONTH(F3),DAY(F2)=1)</f>
        <v>0</v>
      </c>
      <c r="G6" s="56" t="b">
        <f aca="false">OR(MONTH(G2)&lt;&gt;MONTH(G3),DAY(G2)=1)</f>
        <v>0</v>
      </c>
      <c r="H6" s="56" t="b">
        <f aca="false">OR(MONTH(H2)&lt;&gt;MONTH(H3),DAY(H2)=1)</f>
        <v>0</v>
      </c>
      <c r="I6" s="56" t="b">
        <f aca="false">OR(MONTH(I2)&lt;&gt;MONTH(I3),DAY(I2)=1)</f>
        <v>1</v>
      </c>
      <c r="J6" s="56" t="b">
        <f aca="false">OR(MONTH(J2)&lt;&gt;MONTH(J3),DAY(J2)=1)</f>
        <v>0</v>
      </c>
      <c r="K6" s="56" t="b">
        <f aca="false">OR(MONTH(K2)&lt;&gt;MONTH(K3),DAY(K2)=1)</f>
        <v>0</v>
      </c>
      <c r="L6" s="56" t="b">
        <f aca="false">OR(MONTH(L2)&lt;&gt;MONTH(L3),DAY(L2)=1)</f>
        <v>0</v>
      </c>
      <c r="M6" s="56" t="b">
        <f aca="false">OR(MONTH(M2)&lt;&gt;MONTH(M3),DAY(M2)=1)</f>
        <v>1</v>
      </c>
      <c r="N6" s="56" t="b">
        <f aca="false">OR(MONTH(N2)&lt;&gt;MONTH(N3),DAY(N2)=1)</f>
        <v>0</v>
      </c>
    </row>
    <row r="7" customFormat="false" ht="15" hidden="false" customHeight="false" outlineLevel="0" collapsed="false">
      <c r="A7" s="0" t="s">
        <v>73</v>
      </c>
      <c r="B7" s="56" t="b">
        <f aca="false">OR(AND(MONTH(B3)=12,DAY(B3)&gt;=21),AND(MONTH(B2)=1,DAY(B2)&lt;=6),AND(MONTH(B2)=12,MONTH(B3)=1))</f>
        <v>0</v>
      </c>
      <c r="C7" s="56" t="b">
        <f aca="false">OR(AND(MONTH(C3)=12,DAY(C3)&gt;=21),AND(MONTH(C2)=1,DAY(C2)&lt;=6),AND(MONTH(C2)=12,MONTH(C3)=1))</f>
        <v>0</v>
      </c>
      <c r="D7" s="56" t="b">
        <f aca="false">OR(AND(MONTH(D3)=12,DAY(D3)&gt;=21),AND(MONTH(D2)=1,DAY(D2)&lt;=6),AND(MONTH(D2)=12,MONTH(D3)=1))</f>
        <v>0</v>
      </c>
      <c r="E7" s="56" t="b">
        <f aca="false">OR(AND(MONTH(E3)=12,DAY(E3)&gt;=21),AND(MONTH(E2)=1,DAY(E2)&lt;=6),AND(MONTH(E2)=12,MONTH(E3)=1))</f>
        <v>0</v>
      </c>
      <c r="F7" s="56" t="b">
        <f aca="false">OR(AND(MONTH(F3)=12,DAY(F3)&gt;=21),AND(MONTH(F2)=1,DAY(F2)&lt;=6),AND(MONTH(F2)=12,MONTH(F3)=1))</f>
        <v>0</v>
      </c>
      <c r="G7" s="56" t="b">
        <f aca="false">OR(AND(MONTH(G3)=12,DAY(G3)&gt;=21),AND(MONTH(G2)=1,DAY(G2)&lt;=6),AND(MONTH(G2)=12,MONTH(G3)=1))</f>
        <v>0</v>
      </c>
      <c r="H7" s="56" t="b">
        <f aca="false">OR(AND(MONTH(H3)=12,DAY(H3)&gt;=21),AND(MONTH(H2)=1,DAY(H2)&lt;=6),AND(MONTH(H2)=12,MONTH(H3)=1))</f>
        <v>0</v>
      </c>
      <c r="I7" s="56" t="b">
        <f aca="false">OR(AND(MONTH(I3)=12,DAY(I3)&gt;=21),AND(MONTH(I2)=1,DAY(I2)&lt;=6),AND(MONTH(I2)=12,MONTH(I3)=1))</f>
        <v>0</v>
      </c>
      <c r="J7" s="56" t="b">
        <f aca="false">OR(AND(MONTH(J3)=12,DAY(J3)&gt;=21),AND(MONTH(J2)=1,DAY(J2)&lt;=6),AND(MONTH(J2)=12,MONTH(J3)=1))</f>
        <v>0</v>
      </c>
      <c r="K7" s="56" t="b">
        <f aca="false">OR(AND(MONTH(K3)=12,DAY(K3)&gt;=21),AND(MONTH(K2)=1,DAY(K2)&lt;=6),AND(MONTH(K2)=12,MONTH(K3)=1))</f>
        <v>0</v>
      </c>
      <c r="L7" s="56" t="b">
        <f aca="false">OR(AND(MONTH(L3)=12,DAY(L3)&gt;=21),AND(MONTH(L2)=1,DAY(L2)&lt;=6),AND(MONTH(L2)=12,MONTH(L3)=1))</f>
        <v>1</v>
      </c>
      <c r="M7" s="56" t="b">
        <f aca="false">OR(AND(MONTH(M3)=12,DAY(M3)&gt;=21),AND(MONTH(M2)=1,DAY(M2)&lt;=6),AND(MONTH(M2)=12,MONTH(M3)=1))</f>
        <v>1</v>
      </c>
      <c r="N7" s="56" t="b">
        <f aca="false">OR(AND(MONTH(N3)=12,DAY(N3)&gt;=21),AND(MONTH(N2)=1,DAY(N2)&lt;=6),AND(MONTH(N2)=12,MONTH(N3)=1))</f>
        <v>1</v>
      </c>
    </row>
    <row r="8" customFormat="false" ht="15" hidden="false" customHeight="false" outlineLevel="0" collapsed="false">
      <c r="A8" s="0" t="s">
        <v>74</v>
      </c>
      <c r="B8" s="56" t="b">
        <f aca="false">OR(AND(MONTH(B2)=MONTH(B3),DAY(B2)&lt;=17,DAY(B3)&gt;=17),AND(MONTH(B2)&lt;&gt;MONTH(B3),OR(DAY(B2)&lt;=17,DAY(B3)&gt;=17)))</f>
        <v>1</v>
      </c>
      <c r="C8" s="56" t="b">
        <f aca="false">OR(AND(MONTH(C2)=MONTH(C3),DAY(C2)&lt;=17,DAY(C3)&gt;=17),AND(MONTH(C2)&lt;&gt;MONTH(C3),OR(DAY(C2)&lt;=17,DAY(C3)&gt;=17)))</f>
        <v>0</v>
      </c>
      <c r="D8" s="56" t="b">
        <f aca="false">OR(AND(MONTH(D2)=MONTH(D3),DAY(D2)&lt;=17,DAY(D3)&gt;=17),AND(MONTH(D2)&lt;&gt;MONTH(D3),OR(DAY(D2)&lt;=17,DAY(D3)&gt;=17)))</f>
        <v>0</v>
      </c>
      <c r="E8" s="56" t="b">
        <f aca="false">OR(AND(MONTH(E2)=MONTH(E3),DAY(E2)&lt;=17,DAY(E3)&gt;=17),AND(MONTH(E2)&lt;&gt;MONTH(E3),OR(DAY(E2)&lt;=17,DAY(E3)&gt;=17)))</f>
        <v>0</v>
      </c>
      <c r="F8" s="56" t="b">
        <f aca="false">OR(AND(MONTH(F2)=MONTH(F3),DAY(F2)&lt;=17,DAY(F3)&gt;=17),AND(MONTH(F2)&lt;&gt;MONTH(F3),OR(DAY(F2)&lt;=17,DAY(F3)&gt;=17)))</f>
        <v>0</v>
      </c>
      <c r="G8" s="56" t="b">
        <f aca="false">OR(AND(MONTH(G2)=MONTH(G3),DAY(G2)&lt;=17,DAY(G3)&gt;=17),AND(MONTH(G2)&lt;&gt;MONTH(G3),OR(DAY(G2)&lt;=17,DAY(G3)&gt;=17)))</f>
        <v>1</v>
      </c>
      <c r="H8" s="56" t="b">
        <f aca="false">OR(AND(MONTH(H2)=MONTH(H3),DAY(H2)&lt;=17,DAY(H3)&gt;=17),AND(MONTH(H2)&lt;&gt;MONTH(H3),OR(DAY(H2)&lt;=17,DAY(H3)&gt;=17)))</f>
        <v>0</v>
      </c>
      <c r="I8" s="56" t="b">
        <f aca="false">OR(AND(MONTH(I2)=MONTH(I3),DAY(I2)&lt;=17,DAY(I3)&gt;=17),AND(MONTH(I2)&lt;&gt;MONTH(I3),OR(DAY(I2)&lt;=17,DAY(I3)&gt;=17)))</f>
        <v>0</v>
      </c>
      <c r="J8" s="56" t="b">
        <f aca="false">OR(AND(MONTH(J2)=MONTH(J3),DAY(J2)&lt;=17,DAY(J3)&gt;=17),AND(MONTH(J2)&lt;&gt;MONTH(J3),OR(DAY(J2)&lt;=17,DAY(J3)&gt;=17)))</f>
        <v>0</v>
      </c>
      <c r="K8" s="56" t="b">
        <f aca="false">OR(AND(MONTH(K2)=MONTH(K3),DAY(K2)&lt;=17,DAY(K3)&gt;=17),AND(MONTH(K2)&lt;&gt;MONTH(K3),OR(DAY(K2)&lt;=17,DAY(K3)&gt;=17)))</f>
        <v>1</v>
      </c>
      <c r="L8" s="56" t="b">
        <f aca="false">OR(AND(MONTH(L2)=MONTH(L3),DAY(L2)&lt;=17,DAY(L3)&gt;=17),AND(MONTH(L2)&lt;&gt;MONTH(L3),OR(DAY(L2)&lt;=17,DAY(L3)&gt;=17)))</f>
        <v>0</v>
      </c>
      <c r="M8" s="56" t="b">
        <f aca="false">OR(AND(MONTH(M2)=MONTH(M3),DAY(M2)&lt;=17,DAY(M3)&gt;=17),AND(MONTH(M2)&lt;&gt;MONTH(M3),OR(DAY(M2)&lt;=17,DAY(M3)&gt;=17)))</f>
        <v>0</v>
      </c>
      <c r="N8" s="56" t="b">
        <f aca="false">OR(AND(MONTH(N2)=MONTH(N3),DAY(N2)&lt;=17,DAY(N3)&gt;=17),AND(MONTH(N2)&lt;&gt;MONTH(N3),OR(DAY(N2)&lt;=17,DAY(N3)&gt;=17)))</f>
        <v>0</v>
      </c>
    </row>
    <row r="9" customFormat="false" ht="15" hidden="false" customHeight="false" outlineLevel="0" collapsed="false">
      <c r="A9" s="0" t="s">
        <v>75</v>
      </c>
      <c r="B9" s="56" t="b">
        <f aca="false">OR(AND(MONTH(B2)=MONTH(B3),DAY(B2)&lt;=12,DAY(B3)&gt;=12),AND(MONTH(B2)&lt;&gt;MONTH(B3),OR(DAY(B2)&lt;=12,DAY(B3)&gt;=12)))</f>
        <v>1</v>
      </c>
      <c r="C9" s="56" t="b">
        <f aca="false">OR(AND(MONTH(C2)=MONTH(C3),DAY(C2)&lt;=12,DAY(C3)&gt;=12),AND(MONTH(C2)&lt;&gt;MONTH(C3),OR(DAY(C2)&lt;=12,DAY(C3)&gt;=12)))</f>
        <v>0</v>
      </c>
      <c r="D9" s="56" t="b">
        <f aca="false">OR(AND(MONTH(D2)=MONTH(D3),DAY(D2)&lt;=12,DAY(D3)&gt;=12),AND(MONTH(D2)&lt;&gt;MONTH(D3),OR(DAY(D2)&lt;=12,DAY(D3)&gt;=12)))</f>
        <v>0</v>
      </c>
      <c r="E9" s="56" t="b">
        <f aca="false">OR(AND(MONTH(E2)=MONTH(E3),DAY(E2)&lt;=12,DAY(E3)&gt;=12),AND(MONTH(E2)&lt;&gt;MONTH(E3),OR(DAY(E2)&lt;=12,DAY(E3)&gt;=12)))</f>
        <v>0</v>
      </c>
      <c r="F9" s="56" t="b">
        <f aca="false">OR(AND(MONTH(F2)=MONTH(F3),DAY(F2)&lt;=12,DAY(F3)&gt;=12),AND(MONTH(F2)&lt;&gt;MONTH(F3),OR(DAY(F2)&lt;=12,DAY(F3)&gt;=12)))</f>
        <v>1</v>
      </c>
      <c r="G9" s="56" t="b">
        <f aca="false">OR(AND(MONTH(G2)=MONTH(G3),DAY(G2)&lt;=12,DAY(G3)&gt;=12),AND(MONTH(G2)&lt;&gt;MONTH(G3),OR(DAY(G2)&lt;=12,DAY(G3)&gt;=12)))</f>
        <v>0</v>
      </c>
      <c r="H9" s="56" t="b">
        <f aca="false">OR(AND(MONTH(H2)=MONTH(H3),DAY(H2)&lt;=12,DAY(H3)&gt;=12),AND(MONTH(H2)&lt;&gt;MONTH(H3),OR(DAY(H2)&lt;=12,DAY(H3)&gt;=12)))</f>
        <v>0</v>
      </c>
      <c r="I9" s="56" t="b">
        <f aca="false">OR(AND(MONTH(I2)=MONTH(I3),DAY(I2)&lt;=12,DAY(I3)&gt;=12),AND(MONTH(I2)&lt;&gt;MONTH(I3),OR(DAY(I2)&lt;=12,DAY(I3)&gt;=12)))</f>
        <v>0</v>
      </c>
      <c r="J9" s="56" t="b">
        <f aca="false">OR(AND(MONTH(J2)=MONTH(J3),DAY(J2)&lt;=12,DAY(J3)&gt;=12),AND(MONTH(J2)&lt;&gt;MONTH(J3),OR(DAY(J2)&lt;=12,DAY(J3)&gt;=12)))</f>
        <v>1</v>
      </c>
      <c r="K9" s="56" t="b">
        <f aca="false">OR(AND(MONTH(K2)=MONTH(K3),DAY(K2)&lt;=12,DAY(K3)&gt;=12),AND(MONTH(K2)&lt;&gt;MONTH(K3),OR(DAY(K2)&lt;=12,DAY(K3)&gt;=12)))</f>
        <v>0</v>
      </c>
      <c r="L9" s="56" t="b">
        <f aca="false">OR(AND(MONTH(L2)=MONTH(L3),DAY(L2)&lt;=12,DAY(L3)&gt;=12),AND(MONTH(L2)&lt;&gt;MONTH(L3),OR(DAY(L2)&lt;=12,DAY(L3)&gt;=12)))</f>
        <v>0</v>
      </c>
      <c r="M9" s="56" t="b">
        <f aca="false">OR(AND(MONTH(M2)=MONTH(M3),DAY(M2)&lt;=12,DAY(M3)&gt;=12),AND(MONTH(M2)&lt;&gt;MONTH(M3),OR(DAY(M2)&lt;=12,DAY(M3)&gt;=12)))</f>
        <v>0</v>
      </c>
      <c r="N9" s="56" t="b">
        <f aca="false">OR(AND(MONTH(N2)=MONTH(N3),DAY(N2)&lt;=12,DAY(N3)&gt;=12),AND(MONTH(N2)&lt;&gt;MONTH(N3),OR(DAY(N2)&lt;=12,DAY(N3)&gt;=12)))</f>
        <v>0</v>
      </c>
    </row>
    <row r="11" customFormat="false" ht="15" hidden="false" customHeight="false" outlineLevel="0" collapsed="false">
      <c r="A11" s="0" t="s">
        <v>76</v>
      </c>
      <c r="B11" s="0" t="n">
        <f aca="false">ROUND(236000*B40*IF(B7,0.82,1),-1)</f>
        <v>236940</v>
      </c>
      <c r="C11" s="0" t="n">
        <f aca="false">ROUND(236000*C40*IF(C7,0.82,1),-1)</f>
        <v>248980</v>
      </c>
      <c r="D11" s="0" t="n">
        <f aca="false">ROUND(236000*D40*IF(D7,0.82,1),-1)</f>
        <v>255590</v>
      </c>
      <c r="E11" s="0" t="n">
        <f aca="false">ROUND(236000*E40*IF(E7,0.82,1),-1)</f>
        <v>227030</v>
      </c>
      <c r="F11" s="0" t="n">
        <f aca="false">ROUND(236000*F40*IF(F7,0.82,1),-1)</f>
        <v>247330</v>
      </c>
      <c r="G11" s="0" t="n">
        <f aca="false">ROUND(236000*G40*IF(G7,0.82,1),-1)</f>
        <v>244730</v>
      </c>
      <c r="H11" s="0" t="n">
        <f aca="false">ROUND(236000*H40*IF(H7,0.82,1),-1)</f>
        <v>242840</v>
      </c>
      <c r="I11" s="0" t="n">
        <f aca="false">ROUND(236000*I40*IF(I7,0.82,1),-1)</f>
        <v>219480</v>
      </c>
      <c r="J11" s="0" t="n">
        <f aca="false">ROUND(236000*J40*IF(J7,0.82,1),-1)</f>
        <v>215940</v>
      </c>
      <c r="K11" s="0" t="n">
        <f aca="false">ROUND(236000*K40*IF(K7,0.82,1),-1)</f>
        <v>231040</v>
      </c>
      <c r="L11" s="0" t="n">
        <f aca="false">ROUND(236000*L40*IF(L7,0.82,1),-1)</f>
        <v>202030</v>
      </c>
      <c r="M11" s="0" t="n">
        <f aca="false">ROUND(236000*M40*IF(M7,0.82,1),-1)</f>
        <v>184810</v>
      </c>
      <c r="N11" s="0" t="n">
        <f aca="false">ROUND(236000*N40*IF(N7,0.82,1),-1)</f>
        <v>193520</v>
      </c>
    </row>
    <row r="12" customFormat="false" ht="15" hidden="false" customHeight="false" outlineLevel="0" collapsed="false">
      <c r="A12" s="0" t="s">
        <v>77</v>
      </c>
      <c r="B12" s="0" t="n">
        <f aca="false">ROUND(370000*B41*IF(B7,0.82,1)*IF(B5,1.15,1),-1)</f>
        <v>355200</v>
      </c>
      <c r="C12" s="0" t="n">
        <f aca="false">ROUND(370000*C41*IF(C7,0.82,1)*IF(C5,1.15,1),-1)</f>
        <v>398120</v>
      </c>
      <c r="D12" s="0" t="n">
        <f aca="false">ROUND(370000*D41*IF(D7,0.82,1)*IF(D5,1.15,1),-1)</f>
        <v>467200</v>
      </c>
      <c r="E12" s="0" t="n">
        <f aca="false">ROUND(370000*E41*IF(E7,0.82,1)*IF(E5,1.15,1),-1)</f>
        <v>361860</v>
      </c>
      <c r="F12" s="0" t="n">
        <f aca="false">ROUND(370000*F41*IF(F7,0.82,1)*IF(F5,1.15,1),-1)</f>
        <v>410700</v>
      </c>
      <c r="G12" s="0" t="n">
        <f aca="false">ROUND(370000*G41*IF(G7,0.82,1)*IF(G5,1.15,1),-1)</f>
        <v>334480</v>
      </c>
      <c r="H12" s="0" t="n">
        <f aca="false">ROUND(370000*H41*IF(H7,0.82,1)*IF(H5,1.15,1),-1)</f>
        <v>395530</v>
      </c>
      <c r="I12" s="0" t="n">
        <f aca="false">ROUND(370000*I41*IF(I7,0.82,1)*IF(I5,1.15,1),-1)</f>
        <v>460820</v>
      </c>
      <c r="J12" s="0" t="n">
        <f aca="false">ROUND(370000*J41*IF(J7,0.82,1)*IF(J5,1.15,1),-1)</f>
        <v>341510</v>
      </c>
      <c r="K12" s="0" t="n">
        <f aca="false">ROUND(370000*K41*IF(K7,0.82,1)*IF(K5,1.15,1),-1)</f>
        <v>386650</v>
      </c>
      <c r="L12" s="0" t="n">
        <f aca="false">ROUND(370000*L41*IF(L7,0.82,1)*IF(L5,1.15,1),-1)</f>
        <v>307340</v>
      </c>
      <c r="M12" s="0" t="n">
        <f aca="false">ROUND(370000*M41*IF(M7,0.82,1)*IF(M5,1.15,1),-1)</f>
        <v>383800</v>
      </c>
      <c r="N12" s="0" t="n">
        <f aca="false">ROUND(370000*N41*IF(N7,0.82,1)*IF(N5,1.15,1),-1)</f>
        <v>283980</v>
      </c>
    </row>
    <row r="13" customFormat="false" ht="15" hidden="false" customHeight="false" outlineLevel="0" collapsed="false">
      <c r="A13" s="0" t="s">
        <v>78</v>
      </c>
      <c r="B13" s="0" t="n">
        <v>0</v>
      </c>
      <c r="C13" s="0" t="n">
        <v>0</v>
      </c>
      <c r="D13" s="0" t="n">
        <v>0</v>
      </c>
      <c r="E13" s="0" t="n">
        <v>0</v>
      </c>
      <c r="F13" s="0" t="n">
        <v>0</v>
      </c>
      <c r="G13" s="0" t="n">
        <v>0</v>
      </c>
      <c r="H13" s="0" t="n">
        <v>0</v>
      </c>
      <c r="I13" s="0" t="n">
        <v>0</v>
      </c>
      <c r="J13" s="0" t="n">
        <v>0</v>
      </c>
      <c r="K13" s="0" t="n">
        <v>0</v>
      </c>
      <c r="L13" s="0" t="n">
        <v>0</v>
      </c>
      <c r="M13" s="0" t="n">
        <v>0</v>
      </c>
      <c r="N13" s="0" t="n">
        <v>0</v>
      </c>
    </row>
    <row r="14" customFormat="false" ht="15" hidden="false" customHeight="false" outlineLevel="0" collapsed="false">
      <c r="A14" s="0" t="s">
        <v>79</v>
      </c>
      <c r="B14" s="0" t="n">
        <f aca="false">ROUND(352000*B42*IF(B6,1.12,1)*IF(B7,0.75,1),-1)</f>
        <v>354820</v>
      </c>
      <c r="C14" s="0" t="n">
        <f aca="false">ROUND(352000*C42*IF(C6,1.12,1)*IF(C7,0.75,1),-1)</f>
        <v>378750</v>
      </c>
      <c r="D14" s="0" t="n">
        <f aca="false">ROUND(352000*D42*IF(D6,1.12,1)*IF(D7,0.75,1),-1)</f>
        <v>405280</v>
      </c>
      <c r="E14" s="0" t="n">
        <f aca="false">ROUND(352000*E42*IF(E6,1.12,1)*IF(E7,0.75,1),-1)</f>
        <v>338620</v>
      </c>
      <c r="F14" s="0" t="n">
        <f aca="false">ROUND(352000*F42*IF(F6,1.12,1)*IF(F7,0.75,1),-1)</f>
        <v>322430</v>
      </c>
      <c r="G14" s="0" t="n">
        <f aca="false">ROUND(352000*G42*IF(G6,1.12,1)*IF(G7,0.75,1),-1)</f>
        <v>382980</v>
      </c>
      <c r="H14" s="0" t="n">
        <f aca="false">ROUND(352000*H42*IF(H6,1.12,1)*IF(H7,0.75,1),-1)</f>
        <v>350240</v>
      </c>
      <c r="I14" s="0" t="n">
        <f aca="false">ROUND(352000*I42*IF(I6,1.12,1)*IF(I7,0.75,1),-1)</f>
        <v>433270</v>
      </c>
      <c r="J14" s="0" t="n">
        <f aca="false">ROUND(352000*J42*IF(J6,1.12,1)*IF(J7,0.75,1),-1)</f>
        <v>326660</v>
      </c>
      <c r="K14" s="0" t="n">
        <f aca="false">ROUND(352000*K42*IF(K6,1.12,1)*IF(K7,0.75,1),-1)</f>
        <v>373820</v>
      </c>
      <c r="L14" s="0" t="n">
        <f aca="false">ROUND(352000*L42*IF(L6,1.12,1)*IF(L7,0.75,1),-1)</f>
        <v>280630</v>
      </c>
      <c r="M14" s="0" t="n">
        <f aca="false">ROUND(352000*M42*IF(M6,1.12,1)*IF(M7,0.75,1),-1)</f>
        <v>320520</v>
      </c>
      <c r="N14" s="0" t="n">
        <f aca="false">ROUND(352000*N42*IF(N6,1.12,1)*IF(N7,0.75,1),-1)</f>
        <v>238660</v>
      </c>
    </row>
    <row r="15" customFormat="false" ht="15" hidden="false" customHeight="false" outlineLevel="0" collapsed="false">
      <c r="A15" s="0" t="s">
        <v>80</v>
      </c>
      <c r="B15" s="0" t="n">
        <f aca="false">216380*(IF(B4,1,0)+IF(B5,1,0))+IF(AND(B4,MONTH(B2)=12,MONTH(B3)=12),398740,0)</f>
        <v>216380</v>
      </c>
      <c r="C15" s="0" t="n">
        <f aca="false">216380*(IF(C4,1,0)+IF(C5,1,0))+IF(AND(C4,MONTH(C2)=12,MONTH(C3)=12),398740,0)</f>
        <v>0</v>
      </c>
      <c r="D15" s="0" t="n">
        <f aca="false">216380*(IF(D4,1,0)+IF(D5,1,0))+IF(AND(D4,MONTH(D2)=12,MONTH(D3)=12),398740,0)</f>
        <v>216380</v>
      </c>
      <c r="E15" s="0" t="n">
        <f aca="false">216380*(IF(E4,1,0)+IF(E5,1,0))+IF(AND(E4,MONTH(E2)=12,MONTH(E3)=12),398740,0)</f>
        <v>0</v>
      </c>
      <c r="F15" s="0" t="n">
        <f aca="false">216380*(IF(F4,1,0)+IF(F5,1,0))+IF(AND(F4,MONTH(F2)=12,MONTH(F3)=12),398740,0)</f>
        <v>216380</v>
      </c>
      <c r="G15" s="0" t="n">
        <f aca="false">216380*(IF(G4,1,0)+IF(G5,1,0))+IF(AND(G4,MONTH(G2)=12,MONTH(G3)=12),398740,0)</f>
        <v>0</v>
      </c>
      <c r="H15" s="0" t="n">
        <f aca="false">216380*(IF(H4,1,0)+IF(H5,1,0))+IF(AND(H4,MONTH(H2)=12,MONTH(H3)=12),398740,0)</f>
        <v>0</v>
      </c>
      <c r="I15" s="0" t="n">
        <f aca="false">216380*(IF(I4,1,0)+IF(I5,1,0))+IF(AND(I4,MONTH(I2)=12,MONTH(I3)=12),398740,0)</f>
        <v>216380</v>
      </c>
      <c r="J15" s="0" t="n">
        <f aca="false">216380*(IF(J4,1,0)+IF(J5,1,0))+IF(AND(J4,MONTH(J2)=12,MONTH(J3)=12),398740,0)</f>
        <v>0</v>
      </c>
      <c r="K15" s="0" t="n">
        <f aca="false">216380*(IF(K4,1,0)+IF(K5,1,0))+IF(AND(K4,MONTH(K2)=12,MONTH(K3)=12),398740,0)</f>
        <v>615120</v>
      </c>
      <c r="L15" s="0" t="n">
        <f aca="false">216380*(IF(L4,1,0)+IF(L5,1,0))+IF(AND(L4,MONTH(L2)=12,MONTH(L3)=12),398740,0)</f>
        <v>0</v>
      </c>
      <c r="M15" s="0" t="n">
        <f aca="false">216380*(IF(M4,1,0)+IF(M5,1,0))+IF(AND(M4,MONTH(M2)=12,MONTH(M3)=12),398740,0)</f>
        <v>216380</v>
      </c>
      <c r="N15" s="0" t="n">
        <f aca="false">216380*(IF(N4,1,0)+IF(N5,1,0))+IF(AND(N4,MONTH(N2)=12,MONTH(N3)=12),398740,0)</f>
        <v>0</v>
      </c>
    </row>
    <row r="16" customFormat="false" ht="15" hidden="false" customHeight="false" outlineLevel="0" collapsed="false">
      <c r="A16" s="0" t="s">
        <v>81</v>
      </c>
      <c r="B16" s="0" t="n">
        <f aca="false">IF(B6,98410,ROUND(21600*B43,-1))</f>
        <v>20220</v>
      </c>
      <c r="C16" s="0" t="n">
        <f aca="false">IF(C6,98410,ROUND(21600*C43,-1))</f>
        <v>16760</v>
      </c>
      <c r="D16" s="0" t="n">
        <f aca="false">IF(D6,98410,ROUND(21600*D43,-1))</f>
        <v>98410</v>
      </c>
      <c r="E16" s="0" t="n">
        <f aca="false">IF(E6,98410,ROUND(21600*E43,-1))</f>
        <v>20020</v>
      </c>
      <c r="F16" s="0" t="n">
        <f aca="false">IF(F6,98410,ROUND(21600*F43,-1))</f>
        <v>26570</v>
      </c>
      <c r="G16" s="0" t="n">
        <f aca="false">IF(G6,98410,ROUND(21600*G43,-1))</f>
        <v>20240</v>
      </c>
      <c r="H16" s="0" t="n">
        <f aca="false">IF(H6,98410,ROUND(21600*H43,-1))</f>
        <v>24560</v>
      </c>
      <c r="I16" s="0" t="n">
        <f aca="false">IF(I6,98410,ROUND(21600*I43,-1))</f>
        <v>98410</v>
      </c>
      <c r="J16" s="0" t="n">
        <f aca="false">IF(J6,98410,ROUND(21600*J43,-1))</f>
        <v>18770</v>
      </c>
      <c r="K16" s="0" t="n">
        <f aca="false">IF(K6,98410,ROUND(21600*K43,-1))</f>
        <v>22200</v>
      </c>
      <c r="L16" s="0" t="n">
        <f aca="false">IF(L6,98410,ROUND(21600*L43,-1))</f>
        <v>26550</v>
      </c>
      <c r="M16" s="0" t="n">
        <f aca="false">IF(M6,98410,ROUND(21600*M43,-1))</f>
        <v>98410</v>
      </c>
      <c r="N16" s="0" t="n">
        <f aca="false">IF(N6,98410,ROUND(21600*N43,-1))</f>
        <v>20090</v>
      </c>
    </row>
    <row r="17" customFormat="false" ht="15" hidden="false" customHeight="false" outlineLevel="0" collapsed="false">
      <c r="A17" s="0" t="s">
        <v>82</v>
      </c>
      <c r="B17" s="0" t="n">
        <f aca="false">ROUND((B11+B12)*0.047,-1)</f>
        <v>27830</v>
      </c>
      <c r="C17" s="0" t="n">
        <f aca="false">ROUND((C11+C12)*0.047,-1)</f>
        <v>30410</v>
      </c>
      <c r="D17" s="0" t="n">
        <f aca="false">ROUND((D11+D12)*0.047,-1)</f>
        <v>33970</v>
      </c>
      <c r="E17" s="0" t="n">
        <f aca="false">ROUND((E11+E12)*0.047,-1)</f>
        <v>27680</v>
      </c>
      <c r="F17" s="0" t="n">
        <f aca="false">ROUND((F11+F12)*0.047,-1)</f>
        <v>30930</v>
      </c>
      <c r="G17" s="0" t="n">
        <f aca="false">ROUND((G11+G12)*0.047,-1)</f>
        <v>27220</v>
      </c>
      <c r="H17" s="0" t="n">
        <f aca="false">ROUND((H11+H12)*0.047,-1)</f>
        <v>30000</v>
      </c>
      <c r="I17" s="0" t="n">
        <f aca="false">ROUND((I11+I12)*0.047,-1)</f>
        <v>31970</v>
      </c>
      <c r="J17" s="0" t="n">
        <f aca="false">ROUND((J11+J12)*0.047,-1)</f>
        <v>26200</v>
      </c>
      <c r="K17" s="0" t="n">
        <f aca="false">ROUND((K11+K12)*0.047,-1)</f>
        <v>29030</v>
      </c>
      <c r="L17" s="0" t="n">
        <f aca="false">ROUND((L11+L12)*0.047,-1)</f>
        <v>23940</v>
      </c>
      <c r="M17" s="0" t="n">
        <f aca="false">ROUND((M11+M12)*0.047,-1)</f>
        <v>26720</v>
      </c>
      <c r="N17" s="0" t="n">
        <f aca="false">ROUND((N11+N12)*0.047,-1)</f>
        <v>22440</v>
      </c>
    </row>
    <row r="18" customFormat="false" ht="15" hidden="false" customHeight="false" outlineLevel="0" collapsed="false">
      <c r="A18" s="0" t="s">
        <v>83</v>
      </c>
      <c r="B18" s="0" t="n">
        <f aca="false">IF(B8,163870,0)</f>
        <v>163870</v>
      </c>
      <c r="C18" s="0" t="n">
        <f aca="false">IF(C8,163870,0)</f>
        <v>0</v>
      </c>
      <c r="D18" s="0" t="n">
        <f aca="false">IF(D8,163870,0)</f>
        <v>0</v>
      </c>
      <c r="E18" s="0" t="n">
        <f aca="false">IF(E8,163870,0)</f>
        <v>0</v>
      </c>
      <c r="F18" s="0" t="n">
        <f aca="false">IF(F8,163870,0)</f>
        <v>0</v>
      </c>
      <c r="G18" s="0" t="n">
        <f aca="false">IF(G8,163870,0)</f>
        <v>163870</v>
      </c>
      <c r="H18" s="0" t="n">
        <f aca="false">IF(H8,163870,0)</f>
        <v>0</v>
      </c>
      <c r="I18" s="0" t="n">
        <f aca="false">IF(I8,163870,0)</f>
        <v>0</v>
      </c>
      <c r="J18" s="0" t="n">
        <f aca="false">IF(J8,163870,0)</f>
        <v>0</v>
      </c>
      <c r="K18" s="0" t="n">
        <f aca="false">IF(K8,163870,0)</f>
        <v>163870</v>
      </c>
      <c r="L18" s="0" t="n">
        <f aca="false">IF(L8,163870,0)</f>
        <v>0</v>
      </c>
      <c r="M18" s="0" t="n">
        <f aca="false">IF(M8,163870,0)</f>
        <v>0</v>
      </c>
      <c r="N18" s="0" t="n">
        <f aca="false">IF(N8,163870,0)</f>
        <v>0</v>
      </c>
    </row>
    <row r="19" customFormat="false" ht="15" hidden="false" customHeight="false" outlineLevel="0" collapsed="false">
      <c r="A19" s="0" t="s">
        <v>84</v>
      </c>
      <c r="B19" s="0" t="n">
        <f aca="false">IF(B9,47916,0)</f>
        <v>47916</v>
      </c>
      <c r="C19" s="0" t="n">
        <f aca="false">IF(C9,47916,0)</f>
        <v>0</v>
      </c>
      <c r="D19" s="0" t="n">
        <f aca="false">IF(D9,47916,0)</f>
        <v>0</v>
      </c>
      <c r="E19" s="0" t="n">
        <f aca="false">IF(E9,47916,0)</f>
        <v>0</v>
      </c>
      <c r="F19" s="0" t="n">
        <f aca="false">IF(F9,47916,0)</f>
        <v>47916</v>
      </c>
      <c r="G19" s="0" t="n">
        <f aca="false">IF(G9,47916,0)</f>
        <v>0</v>
      </c>
      <c r="H19" s="0" t="n">
        <f aca="false">IF(H9,47916,0)</f>
        <v>0</v>
      </c>
      <c r="I19" s="0" t="n">
        <f aca="false">IF(I9,47916,0)</f>
        <v>0</v>
      </c>
      <c r="J19" s="0" t="n">
        <f aca="false">IF(J9,47916,0)</f>
        <v>47916</v>
      </c>
      <c r="K19" s="0" t="n">
        <f aca="false">IF(K9,47916,0)</f>
        <v>0</v>
      </c>
      <c r="L19" s="0" t="n">
        <f aca="false">IF(L9,47916,0)</f>
        <v>0</v>
      </c>
      <c r="M19" s="0" t="n">
        <f aca="false">IF(M9,47916,0)</f>
        <v>0</v>
      </c>
      <c r="N19" s="0" t="n">
        <f aca="false">IF(N9,47916,0)</f>
        <v>0</v>
      </c>
    </row>
    <row r="20" customFormat="false" ht="15" hidden="false" customHeight="false" outlineLevel="0" collapsed="false">
      <c r="A20" s="0" t="s">
        <v>85</v>
      </c>
      <c r="B20" s="0" t="n">
        <f aca="false">IF(B9,13842,0)</f>
        <v>13842</v>
      </c>
      <c r="C20" s="0" t="n">
        <f aca="false">IF(C9,13842,0)</f>
        <v>0</v>
      </c>
      <c r="D20" s="0" t="n">
        <f aca="false">IF(D9,13842,0)</f>
        <v>0</v>
      </c>
      <c r="E20" s="0" t="n">
        <f aca="false">IF(E9,13842,0)</f>
        <v>0</v>
      </c>
      <c r="F20" s="0" t="n">
        <f aca="false">IF(F9,13842,0)</f>
        <v>13842</v>
      </c>
      <c r="G20" s="0" t="n">
        <f aca="false">IF(G9,13842,0)</f>
        <v>0</v>
      </c>
      <c r="H20" s="0" t="n">
        <f aca="false">IF(H9,13842,0)</f>
        <v>0</v>
      </c>
      <c r="I20" s="0" t="n">
        <f aca="false">IF(I9,13842,0)</f>
        <v>0</v>
      </c>
      <c r="J20" s="0" t="n">
        <f aca="false">IF(J9,13842,0)</f>
        <v>13842</v>
      </c>
      <c r="K20" s="0" t="n">
        <f aca="false">IF(K9,13842,0)</f>
        <v>0</v>
      </c>
      <c r="L20" s="0" t="n">
        <f aca="false">IF(L9,13842,0)</f>
        <v>0</v>
      </c>
      <c r="M20" s="0" t="n">
        <f aca="false">IF(M9,13842,0)</f>
        <v>0</v>
      </c>
      <c r="N20" s="0" t="n">
        <f aca="false">IF(N9,13842,0)</f>
        <v>0</v>
      </c>
    </row>
    <row r="21" customFormat="false" ht="15" hidden="false" customHeight="false" outlineLevel="0" collapsed="false">
      <c r="A21" s="0" t="s">
        <v>86</v>
      </c>
      <c r="B21" s="0" t="n">
        <v>0</v>
      </c>
      <c r="C21" s="0" t="n">
        <v>0</v>
      </c>
      <c r="D21" s="0" t="n">
        <v>0</v>
      </c>
      <c r="E21" s="0" t="n">
        <v>0</v>
      </c>
      <c r="F21" s="0" t="n">
        <v>0</v>
      </c>
      <c r="G21" s="0" t="n">
        <v>0</v>
      </c>
      <c r="H21" s="0" t="n">
        <v>0</v>
      </c>
      <c r="I21" s="0" t="n">
        <v>0</v>
      </c>
      <c r="J21" s="0" t="n">
        <v>412300</v>
      </c>
      <c r="K21" s="0" t="n">
        <v>0</v>
      </c>
      <c r="L21" s="0" t="n">
        <v>0</v>
      </c>
      <c r="M21" s="0" t="n">
        <v>0</v>
      </c>
      <c r="N21" s="0" t="n">
        <v>0</v>
      </c>
    </row>
    <row r="22" customFormat="false" ht="15" hidden="false" customHeight="false" outlineLevel="0" collapsed="false">
      <c r="A22" s="0" t="s">
        <v>87</v>
      </c>
      <c r="B22" s="0" t="n">
        <f aca="false">IF(B5,65000,0)</f>
        <v>0</v>
      </c>
      <c r="C22" s="0" t="n">
        <f aca="false">IF(C5,65000,0)</f>
        <v>0</v>
      </c>
      <c r="D22" s="0" t="n">
        <f aca="false">IF(D5,65000,0)</f>
        <v>65000</v>
      </c>
      <c r="E22" s="0" t="n">
        <f aca="false">IF(E5,65000,0)</f>
        <v>0</v>
      </c>
      <c r="F22" s="0" t="n">
        <f aca="false">IF(F5,65000,0)</f>
        <v>0</v>
      </c>
      <c r="G22" s="0" t="n">
        <f aca="false">IF(G5,65000,0)</f>
        <v>0</v>
      </c>
      <c r="H22" s="0" t="n">
        <f aca="false">IF(H5,65000,0)</f>
        <v>0</v>
      </c>
      <c r="I22" s="0" t="n">
        <f aca="false">IF(I5,65000,0)</f>
        <v>65000</v>
      </c>
      <c r="J22" s="0" t="n">
        <f aca="false">IF(J5,65000,0)</f>
        <v>0</v>
      </c>
      <c r="K22" s="0" t="n">
        <f aca="false">IF(K5,65000,0)</f>
        <v>0</v>
      </c>
      <c r="L22" s="0" t="n">
        <f aca="false">IF(L5,65000,0)</f>
        <v>0</v>
      </c>
      <c r="M22" s="0" t="n">
        <f aca="false">IF(M5,65000,0)</f>
        <v>65000</v>
      </c>
      <c r="N22" s="0" t="n">
        <f aca="false">IF(N5,65000,0)</f>
        <v>0</v>
      </c>
    </row>
    <row r="25" customFormat="false" ht="15" hidden="false" customHeight="false" outlineLevel="0" collapsed="false">
      <c r="A25" s="0" t="s">
        <v>88</v>
      </c>
      <c r="B25" s="0" t="n">
        <f aca="false">ROUND(B11*0.973,-1)</f>
        <v>230540</v>
      </c>
    </row>
    <row r="26" customFormat="false" ht="15" hidden="false" customHeight="false" outlineLevel="0" collapsed="false">
      <c r="A26" s="0" t="s">
        <v>89</v>
      </c>
      <c r="B26" s="0" t="n">
        <f aca="false">ROUND(B12*0.951,-1)</f>
        <v>337800</v>
      </c>
    </row>
    <row r="27" customFormat="false" ht="15" hidden="false" customHeight="false" outlineLevel="0" collapsed="false">
      <c r="A27" s="0" t="s">
        <v>90</v>
      </c>
      <c r="B27" s="0" t="n">
        <f aca="false">ROUND(B13*1,-1)</f>
        <v>0</v>
      </c>
    </row>
    <row r="28" customFormat="false" ht="15" hidden="false" customHeight="false" outlineLevel="0" collapsed="false">
      <c r="A28" s="0" t="s">
        <v>91</v>
      </c>
      <c r="B28" s="0" t="n">
        <f aca="false">ROUND(B14*1.018,-1)</f>
        <v>361210</v>
      </c>
    </row>
    <row r="29" customFormat="false" ht="15" hidden="false" customHeight="false" outlineLevel="0" collapsed="false">
      <c r="A29" s="0" t="s">
        <v>92</v>
      </c>
      <c r="B29" s="0" t="n">
        <f aca="false">ROUND(B15*1,-1)</f>
        <v>216380</v>
      </c>
    </row>
    <row r="30" customFormat="false" ht="15" hidden="false" customHeight="false" outlineLevel="0" collapsed="false">
      <c r="A30" s="0" t="s">
        <v>93</v>
      </c>
      <c r="B30" s="0" t="n">
        <f aca="false">ROUND(B16*1.021,-1)</f>
        <v>20640</v>
      </c>
    </row>
    <row r="31" customFormat="false" ht="15" hidden="false" customHeight="false" outlineLevel="0" collapsed="false">
      <c r="A31" s="0" t="s">
        <v>94</v>
      </c>
      <c r="B31" s="0" t="n">
        <f aca="false">ROUND(B17*0.98,-1)</f>
        <v>27270</v>
      </c>
    </row>
    <row r="32" customFormat="false" ht="15" hidden="false" customHeight="false" outlineLevel="0" collapsed="false">
      <c r="A32" s="0" t="s">
        <v>95</v>
      </c>
      <c r="B32" s="0" t="n">
        <f aca="false">ROUND(B18*1,-1)</f>
        <v>163870</v>
      </c>
    </row>
    <row r="33" customFormat="false" ht="15" hidden="false" customHeight="false" outlineLevel="0" collapsed="false">
      <c r="A33" s="0" t="s">
        <v>96</v>
      </c>
      <c r="B33" s="0" t="n">
        <f aca="false">ROUND(B19*1,-1)</f>
        <v>47920</v>
      </c>
    </row>
    <row r="34" customFormat="false" ht="15" hidden="false" customHeight="false" outlineLevel="0" collapsed="false">
      <c r="A34" s="0" t="s">
        <v>97</v>
      </c>
      <c r="B34" s="0" t="n">
        <f aca="false">ROUND(B20*1,-1)</f>
        <v>13840</v>
      </c>
    </row>
    <row r="35" customFormat="false" ht="15" hidden="false" customHeight="false" outlineLevel="0" collapsed="false">
      <c r="A35" s="0" t="s">
        <v>98</v>
      </c>
      <c r="B35" s="0" t="n">
        <f aca="false">ROUND(B21*1,-1)</f>
        <v>0</v>
      </c>
    </row>
    <row r="36" customFormat="false" ht="15" hidden="false" customHeight="false" outlineLevel="0" collapsed="false">
      <c r="A36" s="0" t="s">
        <v>99</v>
      </c>
      <c r="B36" s="0" t="n">
        <f aca="false">ROUND(B22*1,-1)</f>
        <v>0</v>
      </c>
    </row>
    <row r="40" customFormat="false" ht="15" hidden="false" customHeight="false" outlineLevel="0" collapsed="false">
      <c r="A40" s="0" t="s">
        <v>100</v>
      </c>
      <c r="B40" s="0" t="n">
        <v>1.004</v>
      </c>
      <c r="C40" s="0" t="n">
        <v>1.055</v>
      </c>
      <c r="D40" s="0" t="n">
        <v>1.083</v>
      </c>
      <c r="E40" s="0" t="n">
        <v>0.962</v>
      </c>
      <c r="F40" s="0" t="n">
        <v>1.048</v>
      </c>
      <c r="G40" s="0" t="n">
        <v>1.037</v>
      </c>
      <c r="H40" s="0" t="n">
        <v>1.029</v>
      </c>
      <c r="I40" s="0" t="n">
        <v>0.93</v>
      </c>
      <c r="J40" s="0" t="n">
        <v>0.915</v>
      </c>
      <c r="K40" s="0" t="n">
        <v>0.979</v>
      </c>
      <c r="L40" s="0" t="n">
        <v>1.044</v>
      </c>
      <c r="M40" s="0" t="n">
        <v>0.955</v>
      </c>
      <c r="N40" s="0" t="n">
        <v>1</v>
      </c>
    </row>
    <row r="41" customFormat="false" ht="15" hidden="false" customHeight="false" outlineLevel="0" collapsed="false">
      <c r="A41" s="0" t="s">
        <v>101</v>
      </c>
      <c r="B41" s="0" t="n">
        <v>0.96</v>
      </c>
      <c r="C41" s="0" t="n">
        <v>1.076</v>
      </c>
      <c r="D41" s="0" t="n">
        <v>1.098</v>
      </c>
      <c r="E41" s="0" t="n">
        <v>0.978</v>
      </c>
      <c r="F41" s="0" t="n">
        <v>1.11</v>
      </c>
      <c r="G41" s="0" t="n">
        <v>0.904</v>
      </c>
      <c r="H41" s="0" t="n">
        <v>1.069</v>
      </c>
      <c r="I41" s="0" t="n">
        <v>1.083</v>
      </c>
      <c r="J41" s="0" t="n">
        <v>0.923</v>
      </c>
      <c r="K41" s="0" t="n">
        <v>1.045</v>
      </c>
      <c r="L41" s="0" t="n">
        <v>1.013</v>
      </c>
      <c r="M41" s="0" t="n">
        <v>1.1</v>
      </c>
      <c r="N41" s="0" t="n">
        <v>0.936</v>
      </c>
    </row>
    <row r="42" customFormat="false" ht="15" hidden="false" customHeight="false" outlineLevel="0" collapsed="false">
      <c r="A42" s="0" t="s">
        <v>102</v>
      </c>
      <c r="B42" s="0" t="n">
        <v>1.008</v>
      </c>
      <c r="C42" s="0" t="n">
        <v>1.076</v>
      </c>
      <c r="D42" s="0" t="n">
        <v>1.028</v>
      </c>
      <c r="E42" s="0" t="n">
        <v>0.962</v>
      </c>
      <c r="F42" s="0" t="n">
        <v>0.916</v>
      </c>
      <c r="G42" s="0" t="n">
        <v>1.088</v>
      </c>
      <c r="H42" s="0" t="n">
        <v>0.995</v>
      </c>
      <c r="I42" s="0" t="n">
        <v>1.099</v>
      </c>
      <c r="J42" s="0" t="n">
        <v>0.928</v>
      </c>
      <c r="K42" s="0" t="n">
        <v>1.062</v>
      </c>
      <c r="L42" s="0" t="n">
        <v>1.063</v>
      </c>
      <c r="M42" s="0" t="n">
        <v>1.084</v>
      </c>
      <c r="N42" s="0" t="n">
        <v>0.904</v>
      </c>
    </row>
    <row r="43" customFormat="false" ht="15" hidden="false" customHeight="false" outlineLevel="0" collapsed="false">
      <c r="A43" s="0" t="s">
        <v>103</v>
      </c>
      <c r="B43" s="0" t="n">
        <v>0.936</v>
      </c>
      <c r="C43" s="0" t="n">
        <v>0.776</v>
      </c>
      <c r="D43" s="0" t="n">
        <v>1.126</v>
      </c>
      <c r="E43" s="0" t="n">
        <v>0.927</v>
      </c>
      <c r="F43" s="0" t="n">
        <v>1.23</v>
      </c>
      <c r="G43" s="0" t="n">
        <v>0.937</v>
      </c>
      <c r="H43" s="0" t="n">
        <v>1.137</v>
      </c>
      <c r="I43" s="0" t="n">
        <v>1.184</v>
      </c>
      <c r="J43" s="0" t="n">
        <v>0.869</v>
      </c>
      <c r="K43" s="0" t="n">
        <v>1.028</v>
      </c>
      <c r="L43" s="0" t="n">
        <v>1.229</v>
      </c>
      <c r="M43" s="0" t="n">
        <v>1.013</v>
      </c>
      <c r="N43" s="0" t="n">
        <v>0.93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2026-10-23T23:20:18Z</dcterms:created>
  <dc:creator>openpyxl</dc:creator>
  <dc:description/>
  <dc:language>en-US</dc:language>
  <cp:lastModifiedBy/>
  <dcterms:modified xsi:type="dcterms:W3CDTF">2026-10-23T17:20:20Z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